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2"/>
  </bookViews>
  <sheets>
    <sheet name=" (смета)" sheetId="1" r:id="rId1"/>
    <sheet name="резерв отпускных" sheetId="2" r:id="rId2"/>
    <sheet name="калькуляция" sheetId="3" r:id="rId3"/>
    <sheet name=" (смета) (2)" sheetId="4" r:id="rId4"/>
    <sheet name="калькуляция (2)" sheetId="5" r:id="rId5"/>
    <sheet name="резерв отпускных (2)" sheetId="6" r:id="rId6"/>
    <sheet name=" (смета) (3)" sheetId="8" r:id="rId7"/>
    <sheet name="калькуляция (3)" sheetId="9" r:id="rId8"/>
    <sheet name="резерв отпускных (3)" sheetId="10" r:id="rId9"/>
    <sheet name=" (смета) (4)" sheetId="11" r:id="rId10"/>
    <sheet name="калькуляция (4)" sheetId="12" r:id="rId11"/>
    <sheet name="резерв отпускных (4)" sheetId="13" r:id="rId12"/>
    <sheet name=" (смета) (5)" sheetId="14" r:id="rId13"/>
    <sheet name="калькуляция (5)" sheetId="15" r:id="rId14"/>
    <sheet name="резерв отпускных (5)" sheetId="16" r:id="rId15"/>
    <sheet name=" (смета) (6)" sheetId="17" r:id="rId16"/>
    <sheet name="калькуляция (6)" sheetId="18" r:id="rId17"/>
    <sheet name="резерв отпускных (6)" sheetId="19" r:id="rId18"/>
    <sheet name="свод" sheetId="20" state="hidden" r:id="rId19"/>
    <sheet name="Лист2" sheetId="21" state="hidden" r:id="rId20"/>
    <sheet name="Лист12" sheetId="22" state="hidden" r:id="rId21"/>
    <sheet name="Лист1" sheetId="23" state="hidden" r:id="rId22"/>
    <sheet name="резерв СВОД" sheetId="24" state="hidden" r:id="rId23"/>
    <sheet name="Лист3" sheetId="25" state="hidden" r:id="rId24"/>
    <sheet name="резерв отпускных (7)" sheetId="26" state="hidden" r:id="rId25"/>
    <sheet name="резерв отпускных_2_2" sheetId="31" r:id="rId26"/>
  </sheets>
  <definedNames>
    <definedName name="Excel_BuiltIn_Print_Titles" localSheetId="0">#REF!</definedName>
    <definedName name="Excel_BuiltIn_Print_Titles" localSheetId="3">#REF!</definedName>
    <definedName name="Excel_BuiltIn_Print_Titles" localSheetId="6">#REF!</definedName>
    <definedName name="Excel_BuiltIn_Print_Titles" localSheetId="9">#REF!</definedName>
    <definedName name="Excel_BuiltIn_Print_Titles" localSheetId="12">#REF!</definedName>
    <definedName name="Excel_BuiltIn_Print_Titles" localSheetId="15">#REF!</definedName>
    <definedName name="Excel_BuiltIn_Print_Titles" localSheetId="18">#REF!</definedName>
    <definedName name="_xlnm.Print_Area" localSheetId="0">' (смета)'!$B$2:$K$85</definedName>
    <definedName name="_xlnm.Print_Area" localSheetId="3">' (смета) (2)'!$B$2:$L$82</definedName>
    <definedName name="_xlnm.Print_Area" localSheetId="6">' (смета) (3)'!$B$2:$K$83</definedName>
    <definedName name="_xlnm.Print_Area" localSheetId="9">' (смета) (4)'!$B$2:$K$81</definedName>
    <definedName name="_xlnm.Print_Area" localSheetId="12">' (смета) (5)'!$B$2:$K$81</definedName>
    <definedName name="_xlnm.Print_Area" localSheetId="15">' (смета) (6)'!$B$2:$K$81</definedName>
    <definedName name="_xlnm.Print_Area" localSheetId="2">калькуляция!$B$2:$G$51</definedName>
    <definedName name="_xlnm.Print_Area" localSheetId="4">'калькуляция (2)'!$B$2:$G$49</definedName>
    <definedName name="_xlnm.Print_Area" localSheetId="7">'калькуляция (3)'!$B$2:$G$51</definedName>
    <definedName name="_xlnm.Print_Area" localSheetId="10">'калькуляция (4)'!$B$2:$G$51</definedName>
    <definedName name="_xlnm.Print_Area" localSheetId="13">'калькуляция (5)'!$B$2:$G$51</definedName>
    <definedName name="_xlnm.Print_Area" localSheetId="16">'калькуляция (6)'!$B$2:$G$51</definedName>
    <definedName name="_xlnm.Print_Area" localSheetId="1">'резерв отпускных'!$A$1:$E$20</definedName>
    <definedName name="_xlnm.Print_Area" localSheetId="5">'резерв отпускных (2)'!$A$1:$E$20</definedName>
    <definedName name="_xlnm.Print_Area" localSheetId="8">'резерв отпускных (3)'!$A$1:$E$20</definedName>
    <definedName name="_xlnm.Print_Area" localSheetId="11">'резерв отпускных (4)'!$A$1:$E$21</definedName>
    <definedName name="_xlnm.Print_Area" localSheetId="14">'резерв отпускных (5)'!$A$1:$E$20</definedName>
    <definedName name="_xlnm.Print_Area" localSheetId="17">'резерв отпускных (6)'!$A$1:$E$21</definedName>
    <definedName name="_xlnm.Print_Area" localSheetId="24">'резерв отпускных (7)'!$A$1:$E$21</definedName>
    <definedName name="_xlnm.Print_Area" localSheetId="25">'резерв отпускных_2_2'!$A$1:$E$20</definedName>
    <definedName name="_xlnm.Print_Area" localSheetId="22">'резерв СВОД'!$A$1:$J$22</definedName>
    <definedName name="_xlnm.Print_Area" localSheetId="18">свод!$B$2:$K$81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20" i="31"/>
  <c r="F10"/>
  <c r="G10" s="1"/>
  <c r="C6"/>
  <c r="B3"/>
  <c r="B2"/>
  <c r="F11" i="26"/>
  <c r="G11" s="1"/>
  <c r="B3"/>
  <c r="B2"/>
  <c r="I18" i="24"/>
  <c r="H18"/>
  <c r="G18"/>
  <c r="F18"/>
  <c r="E18"/>
  <c r="J13"/>
  <c r="D13"/>
  <c r="B3"/>
  <c r="B2"/>
  <c r="M76" i="20"/>
  <c r="L76"/>
  <c r="G76"/>
  <c r="L75"/>
  <c r="G75"/>
  <c r="M72" s="1"/>
  <c r="L74"/>
  <c r="G74"/>
  <c r="M73"/>
  <c r="L73" s="1"/>
  <c r="G73"/>
  <c r="G72"/>
  <c r="M71"/>
  <c r="L71" s="1"/>
  <c r="G71"/>
  <c r="M70"/>
  <c r="L70" s="1"/>
  <c r="L69" s="1"/>
  <c r="G70"/>
  <c r="K69"/>
  <c r="J69"/>
  <c r="I69"/>
  <c r="H69"/>
  <c r="G69" s="1"/>
  <c r="M69" s="1"/>
  <c r="G68"/>
  <c r="M67"/>
  <c r="L67"/>
  <c r="G67"/>
  <c r="G66"/>
  <c r="M65"/>
  <c r="G65"/>
  <c r="G64"/>
  <c r="M63"/>
  <c r="L63"/>
  <c r="G63"/>
  <c r="G62"/>
  <c r="G61"/>
  <c r="M61" s="1"/>
  <c r="M55"/>
  <c r="L55" s="1"/>
  <c r="G55"/>
  <c r="K54"/>
  <c r="J54"/>
  <c r="I54"/>
  <c r="H54"/>
  <c r="G53"/>
  <c r="M53" s="1"/>
  <c r="K45"/>
  <c r="J45"/>
  <c r="I45"/>
  <c r="H45"/>
  <c r="K43"/>
  <c r="J43"/>
  <c r="I43"/>
  <c r="H43"/>
  <c r="G41"/>
  <c r="M41" s="1"/>
  <c r="M40"/>
  <c r="G40"/>
  <c r="M39"/>
  <c r="K39"/>
  <c r="G39"/>
  <c r="D39"/>
  <c r="M38"/>
  <c r="G38"/>
  <c r="D38"/>
  <c r="G36"/>
  <c r="M36" s="1"/>
  <c r="M35"/>
  <c r="G35"/>
  <c r="M34"/>
  <c r="G34"/>
  <c r="D34"/>
  <c r="C32"/>
  <c r="Q25"/>
  <c r="Q23"/>
  <c r="M22"/>
  <c r="G22"/>
  <c r="L20"/>
  <c r="G13"/>
  <c r="G11" i="19"/>
  <c r="F11"/>
  <c r="C9"/>
  <c r="C8"/>
  <c r="C7"/>
  <c r="B3"/>
  <c r="B2"/>
  <c r="D47" i="18"/>
  <c r="D44"/>
  <c r="D41"/>
  <c r="E37"/>
  <c r="E27" s="1"/>
  <c r="E26" s="1"/>
  <c r="E28"/>
  <c r="E15"/>
  <c r="B13"/>
  <c r="C12"/>
  <c r="C11"/>
  <c r="B10"/>
  <c r="F4"/>
  <c r="D3"/>
  <c r="M76" i="17"/>
  <c r="G76"/>
  <c r="L76" s="1"/>
  <c r="L75"/>
  <c r="G75"/>
  <c r="L74"/>
  <c r="G74"/>
  <c r="M73"/>
  <c r="L73"/>
  <c r="G73"/>
  <c r="M72"/>
  <c r="G72"/>
  <c r="D42" i="18" s="1"/>
  <c r="M71" i="17"/>
  <c r="L71"/>
  <c r="G71"/>
  <c r="G70"/>
  <c r="M70" s="1"/>
  <c r="L70" s="1"/>
  <c r="L69" s="1"/>
  <c r="K69"/>
  <c r="J69"/>
  <c r="I69"/>
  <c r="H69"/>
  <c r="G69" s="1"/>
  <c r="M69" s="1"/>
  <c r="M68"/>
  <c r="G68"/>
  <c r="L68" s="1"/>
  <c r="G67"/>
  <c r="L67" s="1"/>
  <c r="L65" s="1"/>
  <c r="G66"/>
  <c r="L66" s="1"/>
  <c r="G65"/>
  <c r="M65" s="1"/>
  <c r="M64"/>
  <c r="G64"/>
  <c r="L64" s="1"/>
  <c r="M63"/>
  <c r="L63" s="1"/>
  <c r="G63"/>
  <c r="G62"/>
  <c r="L61"/>
  <c r="G61"/>
  <c r="M61" s="1"/>
  <c r="M57"/>
  <c r="L57"/>
  <c r="G57"/>
  <c r="M56"/>
  <c r="L56" s="1"/>
  <c r="G56"/>
  <c r="M55"/>
  <c r="L55" s="1"/>
  <c r="L54" s="1"/>
  <c r="K54"/>
  <c r="J54"/>
  <c r="I54"/>
  <c r="H54"/>
  <c r="G54"/>
  <c r="M54" s="1"/>
  <c r="M53"/>
  <c r="G51"/>
  <c r="M51" s="1"/>
  <c r="G47"/>
  <c r="M47" s="1"/>
  <c r="L47" s="1"/>
  <c r="M46"/>
  <c r="L46" s="1"/>
  <c r="G46"/>
  <c r="K45"/>
  <c r="J45"/>
  <c r="G45" s="1"/>
  <c r="M45" s="1"/>
  <c r="I45"/>
  <c r="H45"/>
  <c r="G44"/>
  <c r="M44" s="1"/>
  <c r="K43"/>
  <c r="J43"/>
  <c r="I43"/>
  <c r="H43"/>
  <c r="M42"/>
  <c r="G42"/>
  <c r="M41"/>
  <c r="M40"/>
  <c r="M39"/>
  <c r="K39"/>
  <c r="D39"/>
  <c r="M38"/>
  <c r="D38"/>
  <c r="M36"/>
  <c r="M35"/>
  <c r="M34"/>
  <c r="D34"/>
  <c r="G32"/>
  <c r="M32" s="1"/>
  <c r="C32"/>
  <c r="G31"/>
  <c r="M31" s="1"/>
  <c r="G28"/>
  <c r="M28" s="1"/>
  <c r="M27"/>
  <c r="G27"/>
  <c r="Q25"/>
  <c r="G24"/>
  <c r="M24" s="1"/>
  <c r="Q23"/>
  <c r="M22"/>
  <c r="L22"/>
  <c r="L20"/>
  <c r="G13"/>
  <c r="E11" s="1"/>
  <c r="F10" i="16"/>
  <c r="G10" s="1"/>
  <c r="C8"/>
  <c r="C7"/>
  <c r="C6"/>
  <c r="B3"/>
  <c r="B2"/>
  <c r="D47" i="15"/>
  <c r="E28"/>
  <c r="E37" s="1"/>
  <c r="E15"/>
  <c r="B13"/>
  <c r="C12"/>
  <c r="C11"/>
  <c r="B10"/>
  <c r="F4"/>
  <c r="D3"/>
  <c r="G76" i="14"/>
  <c r="L76" s="1"/>
  <c r="L75"/>
  <c r="G75"/>
  <c r="L74"/>
  <c r="G74"/>
  <c r="M73"/>
  <c r="L73" s="1"/>
  <c r="G73"/>
  <c r="D44" i="15" s="1"/>
  <c r="M72" i="14"/>
  <c r="G72"/>
  <c r="D42" i="15" s="1"/>
  <c r="G71" i="14"/>
  <c r="D41" i="15" s="1"/>
  <c r="G70" i="14"/>
  <c r="M70" s="1"/>
  <c r="L70" s="1"/>
  <c r="L69" s="1"/>
  <c r="K69"/>
  <c r="J69"/>
  <c r="I69"/>
  <c r="H69"/>
  <c r="G69" s="1"/>
  <c r="M69" s="1"/>
  <c r="G68"/>
  <c r="L68" s="1"/>
  <c r="G67"/>
  <c r="M67" s="1"/>
  <c r="M66"/>
  <c r="G66"/>
  <c r="L66" s="1"/>
  <c r="G65"/>
  <c r="M65" s="1"/>
  <c r="M64"/>
  <c r="L64"/>
  <c r="G64"/>
  <c r="G63"/>
  <c r="M63" s="1"/>
  <c r="L63" s="1"/>
  <c r="G62"/>
  <c r="M61"/>
  <c r="L61"/>
  <c r="G61"/>
  <c r="M57"/>
  <c r="G57"/>
  <c r="L57" s="1"/>
  <c r="M56"/>
  <c r="L56" s="1"/>
  <c r="G56"/>
  <c r="M55"/>
  <c r="L55" s="1"/>
  <c r="K54"/>
  <c r="J54"/>
  <c r="I54"/>
  <c r="H54"/>
  <c r="G54"/>
  <c r="M54" s="1"/>
  <c r="M53"/>
  <c r="M51"/>
  <c r="G51"/>
  <c r="G47"/>
  <c r="M47" s="1"/>
  <c r="L47" s="1"/>
  <c r="M46"/>
  <c r="L46" s="1"/>
  <c r="G46"/>
  <c r="K45"/>
  <c r="J45"/>
  <c r="I45"/>
  <c r="H45"/>
  <c r="M44"/>
  <c r="G44"/>
  <c r="K43"/>
  <c r="J43"/>
  <c r="I43"/>
  <c r="H43"/>
  <c r="G43"/>
  <c r="M43" s="1"/>
  <c r="M42"/>
  <c r="G42"/>
  <c r="M41"/>
  <c r="M40"/>
  <c r="M39"/>
  <c r="K39"/>
  <c r="D39"/>
  <c r="M38"/>
  <c r="D38"/>
  <c r="M36"/>
  <c r="M35"/>
  <c r="M34"/>
  <c r="D34"/>
  <c r="G32"/>
  <c r="M32" s="1"/>
  <c r="C32"/>
  <c r="M31"/>
  <c r="G31"/>
  <c r="G28"/>
  <c r="M28" s="1"/>
  <c r="G27"/>
  <c r="M27" s="1"/>
  <c r="Q25"/>
  <c r="G24"/>
  <c r="M24" s="1"/>
  <c r="Q23"/>
  <c r="M22"/>
  <c r="L22" s="1"/>
  <c r="L20"/>
  <c r="G13"/>
  <c r="E12"/>
  <c r="E11"/>
  <c r="E13" s="1"/>
  <c r="D48" i="15" s="1"/>
  <c r="F11" i="13"/>
  <c r="G11" s="1"/>
  <c r="C8"/>
  <c r="C6"/>
  <c r="B3"/>
  <c r="B2"/>
  <c r="D47" i="12"/>
  <c r="D42"/>
  <c r="D41"/>
  <c r="E28"/>
  <c r="E37" s="1"/>
  <c r="E15"/>
  <c r="B13"/>
  <c r="C12"/>
  <c r="C9" i="13" s="1"/>
  <c r="C11" i="12"/>
  <c r="C10"/>
  <c r="F4"/>
  <c r="D3"/>
  <c r="G76" i="11"/>
  <c r="M76" s="1"/>
  <c r="L75"/>
  <c r="G75"/>
  <c r="L74"/>
  <c r="G74"/>
  <c r="M73"/>
  <c r="L73"/>
  <c r="G73"/>
  <c r="D44" i="12" s="1"/>
  <c r="M72" i="11"/>
  <c r="G72"/>
  <c r="M71"/>
  <c r="L71" s="1"/>
  <c r="G71"/>
  <c r="M70"/>
  <c r="L70" s="1"/>
  <c r="L69" s="1"/>
  <c r="G70"/>
  <c r="K69"/>
  <c r="J69"/>
  <c r="I69"/>
  <c r="G69" s="1"/>
  <c r="M69" s="1"/>
  <c r="H69"/>
  <c r="G68"/>
  <c r="M68" s="1"/>
  <c r="M67"/>
  <c r="G67"/>
  <c r="L67" s="1"/>
  <c r="M66"/>
  <c r="L66"/>
  <c r="G66"/>
  <c r="M65"/>
  <c r="G65"/>
  <c r="G64"/>
  <c r="L64" s="1"/>
  <c r="G63"/>
  <c r="M63" s="1"/>
  <c r="L63" s="1"/>
  <c r="G62"/>
  <c r="G61"/>
  <c r="L61" s="1"/>
  <c r="M57"/>
  <c r="L57"/>
  <c r="G57"/>
  <c r="G56"/>
  <c r="G54" s="1"/>
  <c r="M54" s="1"/>
  <c r="M55"/>
  <c r="L55"/>
  <c r="K54"/>
  <c r="J54"/>
  <c r="I54"/>
  <c r="H54"/>
  <c r="M53"/>
  <c r="M51"/>
  <c r="G51"/>
  <c r="G47"/>
  <c r="M47" s="1"/>
  <c r="L47" s="1"/>
  <c r="G46"/>
  <c r="M46" s="1"/>
  <c r="L46" s="1"/>
  <c r="K45"/>
  <c r="J45"/>
  <c r="I45"/>
  <c r="H45"/>
  <c r="M44"/>
  <c r="G44"/>
  <c r="K43"/>
  <c r="J43"/>
  <c r="I43"/>
  <c r="H43"/>
  <c r="G43"/>
  <c r="M43" s="1"/>
  <c r="M42"/>
  <c r="G42"/>
  <c r="M41"/>
  <c r="M40"/>
  <c r="M39"/>
  <c r="K39"/>
  <c r="D39"/>
  <c r="M38"/>
  <c r="D38"/>
  <c r="M36"/>
  <c r="M35"/>
  <c r="M34"/>
  <c r="D34"/>
  <c r="G32"/>
  <c r="M32" s="1"/>
  <c r="C32"/>
  <c r="M31"/>
  <c r="G31"/>
  <c r="M28"/>
  <c r="G28"/>
  <c r="G27"/>
  <c r="M27" s="1"/>
  <c r="Q25"/>
  <c r="G24"/>
  <c r="M24" s="1"/>
  <c r="Q23"/>
  <c r="M22"/>
  <c r="L22" s="1"/>
  <c r="L20"/>
  <c r="G13"/>
  <c r="E11" s="1"/>
  <c r="F10" i="10"/>
  <c r="G10" s="1"/>
  <c r="B7"/>
  <c r="C6"/>
  <c r="B3"/>
  <c r="B2"/>
  <c r="D47" i="9"/>
  <c r="D44"/>
  <c r="E37"/>
  <c r="E28"/>
  <c r="E27"/>
  <c r="E26" s="1"/>
  <c r="E15"/>
  <c r="B13"/>
  <c r="C12"/>
  <c r="C11"/>
  <c r="C10"/>
  <c r="F4"/>
  <c r="D3"/>
  <c r="M78" i="8"/>
  <c r="G78"/>
  <c r="L78" s="1"/>
  <c r="L77"/>
  <c r="G77"/>
  <c r="L76"/>
  <c r="G76"/>
  <c r="G75"/>
  <c r="M75" s="1"/>
  <c r="L75" s="1"/>
  <c r="M74"/>
  <c r="G74"/>
  <c r="D42" i="9" s="1"/>
  <c r="G73" i="8"/>
  <c r="D41" i="9" s="1"/>
  <c r="G72" i="8"/>
  <c r="M72" s="1"/>
  <c r="L72" s="1"/>
  <c r="L71" s="1"/>
  <c r="L67" s="1"/>
  <c r="K71"/>
  <c r="J71"/>
  <c r="I71"/>
  <c r="H71"/>
  <c r="G71" s="1"/>
  <c r="M71" s="1"/>
  <c r="M70"/>
  <c r="L70"/>
  <c r="G70"/>
  <c r="M69"/>
  <c r="L69"/>
  <c r="G69"/>
  <c r="M68"/>
  <c r="L68"/>
  <c r="G68"/>
  <c r="M67"/>
  <c r="G67"/>
  <c r="M66"/>
  <c r="L66"/>
  <c r="G66"/>
  <c r="M65"/>
  <c r="L65" s="1"/>
  <c r="G65"/>
  <c r="G64"/>
  <c r="G63"/>
  <c r="M63" s="1"/>
  <c r="G59"/>
  <c r="L59" s="1"/>
  <c r="G58"/>
  <c r="M58" s="1"/>
  <c r="L58" s="1"/>
  <c r="M57"/>
  <c r="L57"/>
  <c r="L56" s="1"/>
  <c r="K56"/>
  <c r="J56"/>
  <c r="I56"/>
  <c r="H56"/>
  <c r="G56"/>
  <c r="M56" s="1"/>
  <c r="M55"/>
  <c r="G53"/>
  <c r="M53" s="1"/>
  <c r="M49"/>
  <c r="L49" s="1"/>
  <c r="G49"/>
  <c r="M48"/>
  <c r="L48" s="1"/>
  <c r="G48"/>
  <c r="K47"/>
  <c r="J47"/>
  <c r="I47"/>
  <c r="H47"/>
  <c r="G47"/>
  <c r="M47" s="1"/>
  <c r="M46"/>
  <c r="G46"/>
  <c r="K45"/>
  <c r="J45"/>
  <c r="I45"/>
  <c r="H45"/>
  <c r="G45" s="1"/>
  <c r="M45" s="1"/>
  <c r="G44"/>
  <c r="M44" s="1"/>
  <c r="M43"/>
  <c r="M42"/>
  <c r="M41"/>
  <c r="K41"/>
  <c r="D41"/>
  <c r="M40"/>
  <c r="D40"/>
  <c r="M38"/>
  <c r="M37"/>
  <c r="M36"/>
  <c r="D36"/>
  <c r="M34"/>
  <c r="G34"/>
  <c r="C34"/>
  <c r="G33"/>
  <c r="M33" s="1"/>
  <c r="M30"/>
  <c r="G30"/>
  <c r="M29"/>
  <c r="G29"/>
  <c r="Q27"/>
  <c r="G26"/>
  <c r="M26" s="1"/>
  <c r="Q25"/>
  <c r="M24"/>
  <c r="L22"/>
  <c r="E16"/>
  <c r="G14"/>
  <c r="E12" s="1"/>
  <c r="G10" i="6"/>
  <c r="F10"/>
  <c r="B7"/>
  <c r="C6"/>
  <c r="B3"/>
  <c r="B2"/>
  <c r="D45" i="5"/>
  <c r="E35"/>
  <c r="E26"/>
  <c r="E13"/>
  <c r="B11"/>
  <c r="C10"/>
  <c r="F4"/>
  <c r="D3"/>
  <c r="F79" i="4"/>
  <c r="F80" i="8" s="1"/>
  <c r="C51" i="9" s="1"/>
  <c r="D20" i="10" s="1"/>
  <c r="F78" i="11" s="1"/>
  <c r="C51" i="12" s="1"/>
  <c r="D21" i="13" s="1"/>
  <c r="F78" i="14" s="1"/>
  <c r="C51" i="15" s="1"/>
  <c r="D20" i="16" s="1"/>
  <c r="F78" i="17" s="1"/>
  <c r="C51" i="18" s="1"/>
  <c r="G77" i="4"/>
  <c r="L77" s="1"/>
  <c r="L76"/>
  <c r="G76"/>
  <c r="L75"/>
  <c r="G75"/>
  <c r="G74"/>
  <c r="M73"/>
  <c r="G73"/>
  <c r="D40" i="5" s="1"/>
  <c r="G72" i="4"/>
  <c r="G71"/>
  <c r="M71" s="1"/>
  <c r="L71" s="1"/>
  <c r="L70" s="1"/>
  <c r="L66" s="1"/>
  <c r="K70"/>
  <c r="J70"/>
  <c r="I70"/>
  <c r="H70"/>
  <c r="G70" s="1"/>
  <c r="M70" s="1"/>
  <c r="M69"/>
  <c r="L69"/>
  <c r="G69"/>
  <c r="M68"/>
  <c r="L68"/>
  <c r="G68"/>
  <c r="M67"/>
  <c r="L67"/>
  <c r="G67"/>
  <c r="M66"/>
  <c r="G66"/>
  <c r="M65"/>
  <c r="L65"/>
  <c r="G65"/>
  <c r="M64"/>
  <c r="L64" s="1"/>
  <c r="G64"/>
  <c r="G63"/>
  <c r="G62"/>
  <c r="L62" s="1"/>
  <c r="L58"/>
  <c r="G58"/>
  <c r="M58" s="1"/>
  <c r="G57"/>
  <c r="M57" s="1"/>
  <c r="L57" s="1"/>
  <c r="M56"/>
  <c r="L56"/>
  <c r="K55"/>
  <c r="J55"/>
  <c r="I55"/>
  <c r="H55"/>
  <c r="M54"/>
  <c r="M52"/>
  <c r="G52"/>
  <c r="M48"/>
  <c r="L48" s="1"/>
  <c r="G48"/>
  <c r="M47"/>
  <c r="L47"/>
  <c r="G47"/>
  <c r="K46"/>
  <c r="J46"/>
  <c r="I46"/>
  <c r="G46" s="1"/>
  <c r="M46" s="1"/>
  <c r="H46"/>
  <c r="M45"/>
  <c r="G45"/>
  <c r="K44"/>
  <c r="J44"/>
  <c r="I44"/>
  <c r="H44"/>
  <c r="G44" s="1"/>
  <c r="M44" s="1"/>
  <c r="G43"/>
  <c r="M43" s="1"/>
  <c r="M42"/>
  <c r="M41"/>
  <c r="M40"/>
  <c r="K40"/>
  <c r="D40"/>
  <c r="M39"/>
  <c r="D39"/>
  <c r="M37"/>
  <c r="M36"/>
  <c r="M35"/>
  <c r="D35"/>
  <c r="M33"/>
  <c r="G33"/>
  <c r="C33"/>
  <c r="M32"/>
  <c r="G32"/>
  <c r="M29"/>
  <c r="G29"/>
  <c r="M28"/>
  <c r="G28"/>
  <c r="M25"/>
  <c r="G25"/>
  <c r="M23"/>
  <c r="L23" s="1"/>
  <c r="G14"/>
  <c r="E12" s="1"/>
  <c r="H10"/>
  <c r="B3"/>
  <c r="B3" i="8" s="1"/>
  <c r="B3" i="11" s="1"/>
  <c r="B3" i="14" s="1"/>
  <c r="C51" i="3"/>
  <c r="D47"/>
  <c r="E37"/>
  <c r="E28"/>
  <c r="E27"/>
  <c r="E26" s="1"/>
  <c r="E15"/>
  <c r="B13"/>
  <c r="C12"/>
  <c r="C11"/>
  <c r="C10"/>
  <c r="F4"/>
  <c r="D3"/>
  <c r="D20" i="2"/>
  <c r="F10"/>
  <c r="G10" s="1"/>
  <c r="C6"/>
  <c r="B3"/>
  <c r="B2"/>
  <c r="M80" i="1"/>
  <c r="L80"/>
  <c r="G80"/>
  <c r="L79"/>
  <c r="G79"/>
  <c r="M76" s="1"/>
  <c r="L78"/>
  <c r="G78"/>
  <c r="G77"/>
  <c r="G76"/>
  <c r="D42" i="3" s="1"/>
  <c r="M75" i="1"/>
  <c r="L75" s="1"/>
  <c r="G75"/>
  <c r="D41" i="3" s="1"/>
  <c r="G74" i="1"/>
  <c r="M74" s="1"/>
  <c r="L74" s="1"/>
  <c r="L73" s="1"/>
  <c r="K73"/>
  <c r="J73"/>
  <c r="I73"/>
  <c r="H73"/>
  <c r="G73"/>
  <c r="M73" s="1"/>
  <c r="G72"/>
  <c r="M72" s="1"/>
  <c r="L71"/>
  <c r="G71"/>
  <c r="M71" s="1"/>
  <c r="G70"/>
  <c r="M70" s="1"/>
  <c r="G69"/>
  <c r="M69" s="1"/>
  <c r="L68"/>
  <c r="G68"/>
  <c r="M68" s="1"/>
  <c r="G67"/>
  <c r="M67" s="1"/>
  <c r="L67" s="1"/>
  <c r="G66"/>
  <c r="M65"/>
  <c r="L65"/>
  <c r="G65"/>
  <c r="M61"/>
  <c r="G61"/>
  <c r="G60"/>
  <c r="G56" i="20" s="1"/>
  <c r="M56" s="1"/>
  <c r="L56" s="1"/>
  <c r="M59" i="1"/>
  <c r="L59" s="1"/>
  <c r="K58"/>
  <c r="J58"/>
  <c r="I58"/>
  <c r="H58"/>
  <c r="M57"/>
  <c r="M55"/>
  <c r="G55"/>
  <c r="M51"/>
  <c r="L51" s="1"/>
  <c r="G51"/>
  <c r="G47" i="20" s="1"/>
  <c r="M47" s="1"/>
  <c r="L47" s="1"/>
  <c r="M50" i="1"/>
  <c r="L50" s="1"/>
  <c r="G50"/>
  <c r="G46" i="20" s="1"/>
  <c r="M46" s="1"/>
  <c r="L46" s="1"/>
  <c r="K49" i="1"/>
  <c r="J49"/>
  <c r="I49"/>
  <c r="G49" s="1"/>
  <c r="H49"/>
  <c r="M48"/>
  <c r="G48"/>
  <c r="G44" i="20" s="1"/>
  <c r="M44" s="1"/>
  <c r="K47" i="1"/>
  <c r="J47"/>
  <c r="I47"/>
  <c r="H47"/>
  <c r="G47" s="1"/>
  <c r="G46"/>
  <c r="M45"/>
  <c r="M44"/>
  <c r="M43"/>
  <c r="K43"/>
  <c r="D43"/>
  <c r="M42"/>
  <c r="D42"/>
  <c r="N40"/>
  <c r="M40"/>
  <c r="N39"/>
  <c r="M39"/>
  <c r="N38"/>
  <c r="M38"/>
  <c r="D38"/>
  <c r="N36"/>
  <c r="M36"/>
  <c r="G36"/>
  <c r="G32" i="20" s="1"/>
  <c r="M32" s="1"/>
  <c r="C36" i="1"/>
  <c r="N35"/>
  <c r="M35"/>
  <c r="G35"/>
  <c r="G31" i="20" s="1"/>
  <c r="M31" s="1"/>
  <c r="M32" i="1"/>
  <c r="G32"/>
  <c r="G28" i="20" s="1"/>
  <c r="M28" s="1"/>
  <c r="G31" i="1"/>
  <c r="G27" i="20" s="1"/>
  <c r="M27" s="1"/>
  <c r="Q29" i="1"/>
  <c r="G28"/>
  <c r="G24" i="20" s="1"/>
  <c r="M24" s="1"/>
  <c r="Q27" i="1"/>
  <c r="M26"/>
  <c r="L26" s="1"/>
  <c r="L24"/>
  <c r="G24"/>
  <c r="E19"/>
  <c r="E20" s="1"/>
  <c r="K24" s="1"/>
  <c r="G16"/>
  <c r="E14" s="1"/>
  <c r="E15" s="1"/>
  <c r="E12"/>
  <c r="E17" s="1"/>
  <c r="M47" l="1"/>
  <c r="M49"/>
  <c r="E13" i="4"/>
  <c r="E14"/>
  <c r="D46" i="5" s="1"/>
  <c r="K53" i="1"/>
  <c r="K64"/>
  <c r="K63" s="1"/>
  <c r="K62" s="1"/>
  <c r="K54"/>
  <c r="K34"/>
  <c r="K41"/>
  <c r="K25"/>
  <c r="K56" s="1"/>
  <c r="K37"/>
  <c r="G42" i="20"/>
  <c r="M42" s="1"/>
  <c r="M46" i="1"/>
  <c r="C7" i="31"/>
  <c r="C7" i="2"/>
  <c r="D39" i="5"/>
  <c r="M72" i="4"/>
  <c r="L72" s="1"/>
  <c r="M31" i="1"/>
  <c r="G58"/>
  <c r="L72"/>
  <c r="L69" s="1"/>
  <c r="M77" i="4"/>
  <c r="E25" i="5"/>
  <c r="E24" s="1"/>
  <c r="E45" i="9"/>
  <c r="D42" i="5"/>
  <c r="M74" i="4"/>
  <c r="L74" s="1"/>
  <c r="E12" i="11"/>
  <c r="E13"/>
  <c r="D48" i="12" s="1"/>
  <c r="E15" i="11"/>
  <c r="E16" s="1"/>
  <c r="E45" i="3"/>
  <c r="G55" i="4"/>
  <c r="M55" s="1"/>
  <c r="L55"/>
  <c r="E17" i="8"/>
  <c r="E18" s="1"/>
  <c r="E13"/>
  <c r="E14"/>
  <c r="D48" i="9" s="1"/>
  <c r="P4" i="1"/>
  <c r="P8" s="1"/>
  <c r="L61"/>
  <c r="G57" i="20"/>
  <c r="M24" i="1"/>
  <c r="J24"/>
  <c r="E16"/>
  <c r="D48" i="3" s="1"/>
  <c r="I24" i="1"/>
  <c r="H24"/>
  <c r="N24"/>
  <c r="M28"/>
  <c r="M60"/>
  <c r="L60" s="1"/>
  <c r="L58" s="1"/>
  <c r="M62" i="4"/>
  <c r="E43" i="5"/>
  <c r="E15" i="4"/>
  <c r="E16" s="1"/>
  <c r="E17" s="1"/>
  <c r="E15" i="17"/>
  <c r="E16" s="1"/>
  <c r="E12"/>
  <c r="E13"/>
  <c r="D48" i="18" s="1"/>
  <c r="L70" i="1"/>
  <c r="M77"/>
  <c r="L77" s="1"/>
  <c r="D44" i="3"/>
  <c r="L54" i="14"/>
  <c r="L54" i="20"/>
  <c r="D21" i="26"/>
  <c r="D21" i="19"/>
  <c r="L65" i="20"/>
  <c r="L48" i="1"/>
  <c r="L47" s="1"/>
  <c r="C49" i="5"/>
  <c r="D20" i="6" s="1"/>
  <c r="L24" i="8"/>
  <c r="M59"/>
  <c r="L63"/>
  <c r="L68" i="11"/>
  <c r="L67" i="14"/>
  <c r="L65" s="1"/>
  <c r="G43" i="17"/>
  <c r="M43" s="1"/>
  <c r="M67"/>
  <c r="L66" i="20"/>
  <c r="M66"/>
  <c r="L22"/>
  <c r="L68"/>
  <c r="M68"/>
  <c r="G51"/>
  <c r="M51" s="1"/>
  <c r="M73" i="8"/>
  <c r="L73" s="1"/>
  <c r="G45" i="11"/>
  <c r="M45" s="1"/>
  <c r="M56"/>
  <c r="L56" s="1"/>
  <c r="L54" s="1"/>
  <c r="M61"/>
  <c r="M64"/>
  <c r="L65"/>
  <c r="G45" i="14"/>
  <c r="M45" s="1"/>
  <c r="M68"/>
  <c r="M71"/>
  <c r="L71" s="1"/>
  <c r="M76"/>
  <c r="E27" i="15"/>
  <c r="E26" s="1"/>
  <c r="E45" s="1"/>
  <c r="M66" i="17"/>
  <c r="E45" i="18"/>
  <c r="L76" i="11"/>
  <c r="E27" i="12"/>
  <c r="E26" s="1"/>
  <c r="E45" s="1"/>
  <c r="L61" i="20"/>
  <c r="C6" i="26"/>
  <c r="C6" i="19"/>
  <c r="L64" i="20"/>
  <c r="M64"/>
  <c r="E15" i="14"/>
  <c r="E16" s="1"/>
  <c r="J21" i="4" l="1"/>
  <c r="G21"/>
  <c r="H21"/>
  <c r="I21"/>
  <c r="K21"/>
  <c r="I20" i="14"/>
  <c r="G20"/>
  <c r="H20"/>
  <c r="J20"/>
  <c r="K20"/>
  <c r="G43" i="20"/>
  <c r="M43" s="1"/>
  <c r="Q24" i="4"/>
  <c r="L21"/>
  <c r="Q26"/>
  <c r="G54" i="20"/>
  <c r="M54" s="1"/>
  <c r="M58" i="1"/>
  <c r="K20" i="17"/>
  <c r="G20"/>
  <c r="H20"/>
  <c r="I20"/>
  <c r="J20"/>
  <c r="I54" i="1"/>
  <c r="I41"/>
  <c r="I37"/>
  <c r="I25"/>
  <c r="I56" s="1"/>
  <c r="I64"/>
  <c r="I63" s="1"/>
  <c r="I62" s="1"/>
  <c r="I53"/>
  <c r="I34"/>
  <c r="I33" s="1"/>
  <c r="L57" i="20"/>
  <c r="M57"/>
  <c r="K27" i="1"/>
  <c r="K29"/>
  <c r="K52"/>
  <c r="G45" i="20"/>
  <c r="M45" s="1"/>
  <c r="H64" i="1"/>
  <c r="H53"/>
  <c r="H34"/>
  <c r="H25"/>
  <c r="H41"/>
  <c r="G41" s="1"/>
  <c r="L46"/>
  <c r="L40"/>
  <c r="L38"/>
  <c r="H37"/>
  <c r="L49"/>
  <c r="H54"/>
  <c r="G54" s="1"/>
  <c r="L36"/>
  <c r="L31"/>
  <c r="L39"/>
  <c r="L35"/>
  <c r="Q4"/>
  <c r="Q8" s="1"/>
  <c r="H56"/>
  <c r="G20" i="11"/>
  <c r="H20"/>
  <c r="I20"/>
  <c r="J20"/>
  <c r="K20"/>
  <c r="E12" i="20"/>
  <c r="K22" i="8"/>
  <c r="G22"/>
  <c r="H22"/>
  <c r="H20" i="20" s="1"/>
  <c r="I22" i="8"/>
  <c r="J22"/>
  <c r="J34" i="1"/>
  <c r="J41"/>
  <c r="J25"/>
  <c r="J37"/>
  <c r="J64"/>
  <c r="J63" s="1"/>
  <c r="J62" s="1"/>
  <c r="J54"/>
  <c r="J53"/>
  <c r="K33"/>
  <c r="K30" s="1"/>
  <c r="H52" i="20" l="1"/>
  <c r="H50"/>
  <c r="H30"/>
  <c r="H29" s="1"/>
  <c r="H21"/>
  <c r="H37"/>
  <c r="H49"/>
  <c r="H60"/>
  <c r="H59" s="1"/>
  <c r="H58" s="1"/>
  <c r="L36"/>
  <c r="L34"/>
  <c r="H33"/>
  <c r="L31"/>
  <c r="L35"/>
  <c r="L42"/>
  <c r="L27"/>
  <c r="L32"/>
  <c r="L45"/>
  <c r="L44"/>
  <c r="L43" s="1"/>
  <c r="J33" i="11"/>
  <c r="J49"/>
  <c r="J37"/>
  <c r="J60"/>
  <c r="J59" s="1"/>
  <c r="J58" s="1"/>
  <c r="J50"/>
  <c r="J30"/>
  <c r="J21"/>
  <c r="J52" s="1"/>
  <c r="J27" i="1"/>
  <c r="J29"/>
  <c r="H29"/>
  <c r="G25"/>
  <c r="H27"/>
  <c r="I21" i="17"/>
  <c r="I52" s="1"/>
  <c r="I33"/>
  <c r="I49"/>
  <c r="I30"/>
  <c r="I50"/>
  <c r="I37"/>
  <c r="I60"/>
  <c r="I59" s="1"/>
  <c r="I58" s="1"/>
  <c r="L37" i="4"/>
  <c r="L32"/>
  <c r="L45"/>
  <c r="L44" s="1"/>
  <c r="L33"/>
  <c r="L28"/>
  <c r="L43"/>
  <c r="L35"/>
  <c r="L46"/>
  <c r="L36"/>
  <c r="H60" i="14"/>
  <c r="H30"/>
  <c r="H52"/>
  <c r="H49"/>
  <c r="H33"/>
  <c r="Q4"/>
  <c r="Q6" s="1"/>
  <c r="H50"/>
  <c r="H37"/>
  <c r="L35"/>
  <c r="H21"/>
  <c r="L34"/>
  <c r="L44"/>
  <c r="L43" s="1"/>
  <c r="L42"/>
  <c r="L36"/>
  <c r="L27"/>
  <c r="L31"/>
  <c r="L45"/>
  <c r="L32"/>
  <c r="I61" i="4"/>
  <c r="I60" s="1"/>
  <c r="I59" s="1"/>
  <c r="I31"/>
  <c r="I30" s="1"/>
  <c r="I50"/>
  <c r="I38"/>
  <c r="I22"/>
  <c r="I34"/>
  <c r="I51"/>
  <c r="I53"/>
  <c r="I52" i="1"/>
  <c r="M41"/>
  <c r="L41" s="1"/>
  <c r="J60" i="17"/>
  <c r="J59" s="1"/>
  <c r="J58" s="1"/>
  <c r="J30"/>
  <c r="J33"/>
  <c r="J49"/>
  <c r="J21"/>
  <c r="J50"/>
  <c r="J37"/>
  <c r="J37" i="14"/>
  <c r="J30"/>
  <c r="J50"/>
  <c r="J49"/>
  <c r="J33"/>
  <c r="J60"/>
  <c r="J59" s="1"/>
  <c r="J58" s="1"/>
  <c r="J21"/>
  <c r="J52" s="1"/>
  <c r="I50"/>
  <c r="I30"/>
  <c r="I29" s="1"/>
  <c r="I49"/>
  <c r="I33"/>
  <c r="I60"/>
  <c r="I59" s="1"/>
  <c r="I58" s="1"/>
  <c r="I37"/>
  <c r="I21"/>
  <c r="K53" i="4"/>
  <c r="K38"/>
  <c r="K22"/>
  <c r="K50"/>
  <c r="K34"/>
  <c r="K61"/>
  <c r="K60" s="1"/>
  <c r="K59" s="1"/>
  <c r="K51"/>
  <c r="K31"/>
  <c r="K30" s="1"/>
  <c r="K20" i="20"/>
  <c r="I30" i="1"/>
  <c r="K49" i="14"/>
  <c r="K21"/>
  <c r="K52"/>
  <c r="K30"/>
  <c r="K29" s="1"/>
  <c r="K50"/>
  <c r="K37"/>
  <c r="K33"/>
  <c r="K60"/>
  <c r="K59" s="1"/>
  <c r="K58" s="1"/>
  <c r="J51" i="4"/>
  <c r="J34"/>
  <c r="J38"/>
  <c r="J22"/>
  <c r="J53" s="1"/>
  <c r="J61"/>
  <c r="J60" s="1"/>
  <c r="J59" s="1"/>
  <c r="J50"/>
  <c r="J31"/>
  <c r="J30" s="1"/>
  <c r="I23" i="8"/>
  <c r="I35"/>
  <c r="I51"/>
  <c r="I54"/>
  <c r="I39"/>
  <c r="I52"/>
  <c r="I62"/>
  <c r="I61" s="1"/>
  <c r="I60" s="1"/>
  <c r="I32"/>
  <c r="K52"/>
  <c r="K62"/>
  <c r="K61" s="1"/>
  <c r="K60" s="1"/>
  <c r="K32"/>
  <c r="K31" s="1"/>
  <c r="K23"/>
  <c r="K35"/>
  <c r="K51"/>
  <c r="K39"/>
  <c r="M20" i="11"/>
  <c r="N20"/>
  <c r="P4"/>
  <c r="P6" s="1"/>
  <c r="G64" i="1"/>
  <c r="H63"/>
  <c r="K50" i="17"/>
  <c r="K52"/>
  <c r="K33"/>
  <c r="K30"/>
  <c r="K49"/>
  <c r="K21"/>
  <c r="K60"/>
  <c r="K59" s="1"/>
  <c r="K58" s="1"/>
  <c r="K37"/>
  <c r="J62" i="8"/>
  <c r="J61" s="1"/>
  <c r="J60" s="1"/>
  <c r="J32"/>
  <c r="J23"/>
  <c r="J35"/>
  <c r="J51"/>
  <c r="J39"/>
  <c r="J52"/>
  <c r="M22"/>
  <c r="N22"/>
  <c r="P4"/>
  <c r="P6" s="1"/>
  <c r="K21" i="11"/>
  <c r="K52"/>
  <c r="K33"/>
  <c r="K49"/>
  <c r="K37"/>
  <c r="K60"/>
  <c r="K59" s="1"/>
  <c r="K58" s="1"/>
  <c r="K50"/>
  <c r="K30"/>
  <c r="L44"/>
  <c r="L43" s="1"/>
  <c r="H37"/>
  <c r="H60"/>
  <c r="H50"/>
  <c r="L35"/>
  <c r="L32"/>
  <c r="L27"/>
  <c r="L42"/>
  <c r="H30"/>
  <c r="L36"/>
  <c r="L31"/>
  <c r="H21"/>
  <c r="Q4"/>
  <c r="Q6" s="1"/>
  <c r="H33"/>
  <c r="H52"/>
  <c r="H49"/>
  <c r="L45"/>
  <c r="L34"/>
  <c r="M21" i="4"/>
  <c r="P4"/>
  <c r="P6" s="1"/>
  <c r="N21"/>
  <c r="G20" i="20"/>
  <c r="O24" i="1"/>
  <c r="P24" s="1"/>
  <c r="J20" i="20"/>
  <c r="J56" i="1"/>
  <c r="J52" s="1"/>
  <c r="G53"/>
  <c r="H52"/>
  <c r="I27"/>
  <c r="I29" s="1"/>
  <c r="N20" i="17"/>
  <c r="M20"/>
  <c r="P4"/>
  <c r="P6" s="1"/>
  <c r="J33" i="1"/>
  <c r="D40" i="3"/>
  <c r="L54" i="1"/>
  <c r="M54"/>
  <c r="N54"/>
  <c r="H35" i="8"/>
  <c r="H51"/>
  <c r="H39"/>
  <c r="H52"/>
  <c r="G52" s="1"/>
  <c r="L47"/>
  <c r="L37"/>
  <c r="L34"/>
  <c r="L29"/>
  <c r="H62"/>
  <c r="L44"/>
  <c r="H32"/>
  <c r="Q4"/>
  <c r="Q6" s="1"/>
  <c r="H23"/>
  <c r="H54" s="1"/>
  <c r="L36"/>
  <c r="L38"/>
  <c r="L46"/>
  <c r="L45" s="1"/>
  <c r="L33"/>
  <c r="I49" i="11"/>
  <c r="I37"/>
  <c r="I60"/>
  <c r="I59" s="1"/>
  <c r="I58" s="1"/>
  <c r="I50"/>
  <c r="I30"/>
  <c r="I29" s="1"/>
  <c r="I21"/>
  <c r="I33"/>
  <c r="H33" i="1"/>
  <c r="G34"/>
  <c r="H33" i="17"/>
  <c r="G33" s="1"/>
  <c r="M33" s="1"/>
  <c r="L33" s="1"/>
  <c r="Q4"/>
  <c r="Q6" s="1"/>
  <c r="H49"/>
  <c r="H30"/>
  <c r="H50"/>
  <c r="G50" s="1"/>
  <c r="H37"/>
  <c r="H21"/>
  <c r="H60"/>
  <c r="L45"/>
  <c r="L34"/>
  <c r="L32"/>
  <c r="L42"/>
  <c r="L31"/>
  <c r="L35"/>
  <c r="L27"/>
  <c r="L44"/>
  <c r="L43" s="1"/>
  <c r="L36"/>
  <c r="P4" i="14"/>
  <c r="P6" s="1"/>
  <c r="M20"/>
  <c r="N20"/>
  <c r="H22" i="4"/>
  <c r="H53"/>
  <c r="H38"/>
  <c r="G38" s="1"/>
  <c r="M38" s="1"/>
  <c r="L38" s="1"/>
  <c r="Q4"/>
  <c r="Q6" s="1"/>
  <c r="H34"/>
  <c r="G34" s="1"/>
  <c r="M34" s="1"/>
  <c r="L34" s="1"/>
  <c r="H61"/>
  <c r="H51"/>
  <c r="G51" s="1"/>
  <c r="H50"/>
  <c r="H31"/>
  <c r="G37" i="1"/>
  <c r="I20" i="20"/>
  <c r="Q4" s="1"/>
  <c r="Q6" s="1"/>
  <c r="D40" i="18" l="1"/>
  <c r="M50" i="17"/>
  <c r="N50"/>
  <c r="L50"/>
  <c r="G33" i="1"/>
  <c r="H30"/>
  <c r="M37"/>
  <c r="L37" s="1"/>
  <c r="M34"/>
  <c r="L34" s="1"/>
  <c r="L33" s="1"/>
  <c r="G62" i="8"/>
  <c r="H61"/>
  <c r="J27"/>
  <c r="J25"/>
  <c r="K23" i="14"/>
  <c r="K25"/>
  <c r="I23"/>
  <c r="I25" s="1"/>
  <c r="J23" i="17"/>
  <c r="J25" s="1"/>
  <c r="G60" i="14"/>
  <c r="H59"/>
  <c r="G53" i="4"/>
  <c r="G37" i="17"/>
  <c r="M37" s="1"/>
  <c r="L37" s="1"/>
  <c r="G39" i="8"/>
  <c r="M39" s="1"/>
  <c r="L39" s="1"/>
  <c r="G56" i="1"/>
  <c r="G52"/>
  <c r="G33" i="11"/>
  <c r="M33" s="1"/>
  <c r="L33" s="1"/>
  <c r="G37"/>
  <c r="M37" s="1"/>
  <c r="L37" s="1"/>
  <c r="K48"/>
  <c r="I52" i="14"/>
  <c r="I48" s="1"/>
  <c r="I26" s="1"/>
  <c r="G50"/>
  <c r="J29" i="11"/>
  <c r="G21" i="17"/>
  <c r="H23"/>
  <c r="D40" i="9"/>
  <c r="L52" i="8"/>
  <c r="M52"/>
  <c r="N52"/>
  <c r="M20" i="20"/>
  <c r="P4"/>
  <c r="P6" s="1"/>
  <c r="N20"/>
  <c r="H29" i="11"/>
  <c r="G30"/>
  <c r="M30" s="1"/>
  <c r="L30" s="1"/>
  <c r="L29" s="1"/>
  <c r="G60"/>
  <c r="H59"/>
  <c r="G30" i="14"/>
  <c r="M30" s="1"/>
  <c r="L30" s="1"/>
  <c r="H29"/>
  <c r="J25" i="11"/>
  <c r="J23"/>
  <c r="J30" i="1"/>
  <c r="G52" i="11"/>
  <c r="J49" i="4"/>
  <c r="J27" s="1"/>
  <c r="J48" i="14"/>
  <c r="I27" i="4"/>
  <c r="G37" i="14"/>
  <c r="M37" s="1"/>
  <c r="L37" s="1"/>
  <c r="G60" i="17"/>
  <c r="H59"/>
  <c r="H31" i="8"/>
  <c r="G32"/>
  <c r="M32" s="1"/>
  <c r="L32" s="1"/>
  <c r="K25"/>
  <c r="K27" s="1"/>
  <c r="G50" i="11"/>
  <c r="J29" i="17"/>
  <c r="I49" i="4"/>
  <c r="G52" i="14"/>
  <c r="I48" i="17"/>
  <c r="G29" i="1"/>
  <c r="J48" i="11"/>
  <c r="I49" i="20"/>
  <c r="I52"/>
  <c r="I50"/>
  <c r="I30"/>
  <c r="I21"/>
  <c r="I33"/>
  <c r="I60"/>
  <c r="I59" s="1"/>
  <c r="I58" s="1"/>
  <c r="I37"/>
  <c r="G49" i="11"/>
  <c r="H48"/>
  <c r="D38" i="5"/>
  <c r="M51" i="4"/>
  <c r="L51"/>
  <c r="N51"/>
  <c r="H24"/>
  <c r="H26"/>
  <c r="G22"/>
  <c r="G49" i="17"/>
  <c r="I23" i="11"/>
  <c r="I25" s="1"/>
  <c r="J60" i="20"/>
  <c r="J59" s="1"/>
  <c r="J58" s="1"/>
  <c r="J49"/>
  <c r="J50"/>
  <c r="J33"/>
  <c r="J21"/>
  <c r="J37"/>
  <c r="J30"/>
  <c r="K25" i="11"/>
  <c r="K23"/>
  <c r="I27" i="8"/>
  <c r="I25"/>
  <c r="K33" i="20"/>
  <c r="K60"/>
  <c r="K59" s="1"/>
  <c r="K58" s="1"/>
  <c r="K49"/>
  <c r="K48" s="1"/>
  <c r="K52"/>
  <c r="K37"/>
  <c r="K30"/>
  <c r="K29" s="1"/>
  <c r="K50"/>
  <c r="K21"/>
  <c r="K24" i="4"/>
  <c r="K26" s="1"/>
  <c r="G21" i="14"/>
  <c r="H25"/>
  <c r="H23"/>
  <c r="G49"/>
  <c r="H48"/>
  <c r="M25" i="1"/>
  <c r="N25"/>
  <c r="H23" i="20"/>
  <c r="H25" s="1"/>
  <c r="H52" i="17"/>
  <c r="G52" s="1"/>
  <c r="I52" i="11"/>
  <c r="G35" i="8"/>
  <c r="M35" s="1"/>
  <c r="L35" s="1"/>
  <c r="J54"/>
  <c r="J50" s="1"/>
  <c r="K29" i="17"/>
  <c r="J52"/>
  <c r="I29"/>
  <c r="I26" s="1"/>
  <c r="G61" i="4"/>
  <c r="H60"/>
  <c r="G50"/>
  <c r="H49"/>
  <c r="G30" i="17"/>
  <c r="M30" s="1"/>
  <c r="L30" s="1"/>
  <c r="L29" s="1"/>
  <c r="H29"/>
  <c r="H25" i="8"/>
  <c r="G25" s="1"/>
  <c r="G23"/>
  <c r="G51"/>
  <c r="H50"/>
  <c r="H23" i="11"/>
  <c r="G23" s="1"/>
  <c r="G21"/>
  <c r="G60" i="20"/>
  <c r="D43" i="3"/>
  <c r="L64" i="1"/>
  <c r="M64"/>
  <c r="J23" i="14"/>
  <c r="J25" s="1"/>
  <c r="I24" i="4"/>
  <c r="I26"/>
  <c r="I48" i="11"/>
  <c r="I26" s="1"/>
  <c r="G50" i="20"/>
  <c r="K29" i="11"/>
  <c r="K26" s="1"/>
  <c r="K48" i="17"/>
  <c r="I31" i="8"/>
  <c r="I28" s="1"/>
  <c r="K49" i="4"/>
  <c r="K27" s="1"/>
  <c r="G37" i="20"/>
  <c r="M37" s="1"/>
  <c r="L37" s="1"/>
  <c r="G33" i="14"/>
  <c r="M33" s="1"/>
  <c r="L33" s="1"/>
  <c r="G27" i="1"/>
  <c r="H30" i="4"/>
  <c r="G31"/>
  <c r="M31" s="1"/>
  <c r="L31" s="1"/>
  <c r="L30" s="1"/>
  <c r="G49" i="20"/>
  <c r="N53" i="1"/>
  <c r="M53"/>
  <c r="L53" s="1"/>
  <c r="D39" i="3"/>
  <c r="K23" i="17"/>
  <c r="K25"/>
  <c r="H62" i="1"/>
  <c r="G62" s="1"/>
  <c r="G63"/>
  <c r="J26" i="4"/>
  <c r="J24"/>
  <c r="I23" i="17"/>
  <c r="I25" s="1"/>
  <c r="J31" i="8"/>
  <c r="K54"/>
  <c r="K50" s="1"/>
  <c r="K28" s="1"/>
  <c r="I50"/>
  <c r="K48" i="14"/>
  <c r="K26" s="1"/>
  <c r="J29"/>
  <c r="J26" s="1"/>
  <c r="J48" i="17"/>
  <c r="H48" i="20"/>
  <c r="H26" s="1"/>
  <c r="D37" i="5" l="1"/>
  <c r="M50" i="4"/>
  <c r="L50" s="1"/>
  <c r="N50"/>
  <c r="H27"/>
  <c r="G27" s="1"/>
  <c r="M27" s="1"/>
  <c r="G30"/>
  <c r="D39" i="15"/>
  <c r="N49" i="14"/>
  <c r="M49"/>
  <c r="L49" s="1"/>
  <c r="K23" i="20"/>
  <c r="K25" s="1"/>
  <c r="H26" i="14"/>
  <c r="G26" s="1"/>
  <c r="M26" s="1"/>
  <c r="G29"/>
  <c r="H26" i="11"/>
  <c r="G29"/>
  <c r="N21" i="17"/>
  <c r="M21"/>
  <c r="M52" i="1"/>
  <c r="L52"/>
  <c r="L30" s="1"/>
  <c r="L76" s="1"/>
  <c r="H27" i="8"/>
  <c r="G27" s="1"/>
  <c r="M27" s="1"/>
  <c r="L27" s="1"/>
  <c r="G49" i="4"/>
  <c r="M49" s="1"/>
  <c r="H48" i="17"/>
  <c r="G48" s="1"/>
  <c r="M48" s="1"/>
  <c r="I48" i="20"/>
  <c r="L31" i="8"/>
  <c r="J26" i="11"/>
  <c r="N34" i="1"/>
  <c r="G54" i="8"/>
  <c r="D15" i="13"/>
  <c r="D11"/>
  <c r="M23" i="11"/>
  <c r="L23" s="1"/>
  <c r="M25" i="8"/>
  <c r="L25" s="1"/>
  <c r="D10" i="10"/>
  <c r="D14" s="1"/>
  <c r="D39" i="12"/>
  <c r="M49" i="11"/>
  <c r="L49" s="1"/>
  <c r="N49"/>
  <c r="L52" i="14"/>
  <c r="L51" s="1"/>
  <c r="M52"/>
  <c r="L52" i="11"/>
  <c r="L51" s="1"/>
  <c r="M52"/>
  <c r="G48" i="14"/>
  <c r="M48" s="1"/>
  <c r="G24" i="4"/>
  <c r="G23" i="17"/>
  <c r="G33" i="20"/>
  <c r="M33" s="1"/>
  <c r="L33" s="1"/>
  <c r="L52" i="17"/>
  <c r="L51" s="1"/>
  <c r="M52"/>
  <c r="J23" i="20"/>
  <c r="J25" s="1"/>
  <c r="D43" i="12"/>
  <c r="M60" i="11"/>
  <c r="L60"/>
  <c r="L53" i="4"/>
  <c r="L52" s="1"/>
  <c r="M53"/>
  <c r="L62" i="8"/>
  <c r="D43" i="9"/>
  <c r="M62" i="8"/>
  <c r="G26" i="4"/>
  <c r="M26" s="1"/>
  <c r="L26" s="1"/>
  <c r="G48" i="11"/>
  <c r="M48" s="1"/>
  <c r="N37" i="1"/>
  <c r="N62"/>
  <c r="M62"/>
  <c r="M21" i="11"/>
  <c r="N21"/>
  <c r="M23" i="8"/>
  <c r="N23"/>
  <c r="M63" i="1"/>
  <c r="L63" s="1"/>
  <c r="L62" s="1"/>
  <c r="M50" i="20"/>
  <c r="N50"/>
  <c r="L50"/>
  <c r="M51" i="8"/>
  <c r="L51" s="1"/>
  <c r="N51"/>
  <c r="D39" i="9"/>
  <c r="L61" i="4"/>
  <c r="D41" i="5"/>
  <c r="M61" i="4"/>
  <c r="N21" i="14"/>
  <c r="M21"/>
  <c r="R4"/>
  <c r="R6" s="1"/>
  <c r="M22" i="4"/>
  <c r="N22"/>
  <c r="M29" i="1"/>
  <c r="L29" s="1"/>
  <c r="N50" i="11"/>
  <c r="M50"/>
  <c r="D40" i="12"/>
  <c r="L50" i="11"/>
  <c r="D43" i="18"/>
  <c r="L60" i="17"/>
  <c r="M60"/>
  <c r="G59" i="11"/>
  <c r="M59" s="1"/>
  <c r="L59" s="1"/>
  <c r="L58" s="1"/>
  <c r="H58"/>
  <c r="G58" s="1"/>
  <c r="L60" i="14"/>
  <c r="M60"/>
  <c r="D43" i="15"/>
  <c r="H60" i="8"/>
  <c r="G60" s="1"/>
  <c r="G61"/>
  <c r="M61" s="1"/>
  <c r="L61" s="1"/>
  <c r="L60" s="1"/>
  <c r="M33" i="1"/>
  <c r="N33"/>
  <c r="D38" i="3"/>
  <c r="G21" i="20"/>
  <c r="H25" i="11"/>
  <c r="G25" s="1"/>
  <c r="M25" s="1"/>
  <c r="L25" s="1"/>
  <c r="K26" i="17"/>
  <c r="I29" i="20"/>
  <c r="I26" s="1"/>
  <c r="N41" i="1"/>
  <c r="M49" i="20"/>
  <c r="L49" s="1"/>
  <c r="N49"/>
  <c r="L60"/>
  <c r="M60"/>
  <c r="G60" i="4"/>
  <c r="M60" s="1"/>
  <c r="L60" s="1"/>
  <c r="L59" s="1"/>
  <c r="H59"/>
  <c r="G59" s="1"/>
  <c r="R4" s="1"/>
  <c r="R6" s="1"/>
  <c r="I23" i="20"/>
  <c r="I25"/>
  <c r="G59" i="17"/>
  <c r="M59" s="1"/>
  <c r="L59" s="1"/>
  <c r="L58" s="1"/>
  <c r="H58"/>
  <c r="G58" s="1"/>
  <c r="M50" i="14"/>
  <c r="D40" i="15"/>
  <c r="N50" i="14"/>
  <c r="L50"/>
  <c r="G59"/>
  <c r="M59" s="1"/>
  <c r="L59" s="1"/>
  <c r="L58" s="1"/>
  <c r="H58"/>
  <c r="G58" s="1"/>
  <c r="G50" i="8"/>
  <c r="M50" s="1"/>
  <c r="G25" i="14"/>
  <c r="M25" s="1"/>
  <c r="L25" s="1"/>
  <c r="K26" i="20"/>
  <c r="J29"/>
  <c r="G30" i="1"/>
  <c r="D10" i="2"/>
  <c r="M27" i="1"/>
  <c r="L27" s="1"/>
  <c r="H26" i="17"/>
  <c r="G29"/>
  <c r="M49"/>
  <c r="L49" s="1"/>
  <c r="L48" s="1"/>
  <c r="L84" s="1"/>
  <c r="N49"/>
  <c r="D39" i="18"/>
  <c r="G31" i="8"/>
  <c r="G29" i="20" s="1"/>
  <c r="H28" i="8"/>
  <c r="G28" s="1"/>
  <c r="M28" s="1"/>
  <c r="D33" i="9"/>
  <c r="D28" s="1"/>
  <c r="D31" i="5"/>
  <c r="D26" s="1"/>
  <c r="D33" i="15"/>
  <c r="D28" s="1"/>
  <c r="D33" i="12"/>
  <c r="D28" s="1"/>
  <c r="G52" i="20"/>
  <c r="D33" i="18"/>
  <c r="D28" s="1"/>
  <c r="M56" i="1"/>
  <c r="L56"/>
  <c r="L55" s="1"/>
  <c r="D33" i="3"/>
  <c r="D28" s="1"/>
  <c r="J28" i="8"/>
  <c r="G23" i="14"/>
  <c r="J52" i="20"/>
  <c r="J48" s="1"/>
  <c r="J26" i="17"/>
  <c r="L29" i="14"/>
  <c r="H25" i="17"/>
  <c r="G25" s="1"/>
  <c r="M25" s="1"/>
  <c r="L25" s="1"/>
  <c r="G30" i="20"/>
  <c r="M30" s="1"/>
  <c r="L30" s="1"/>
  <c r="L29" s="1"/>
  <c r="M29" l="1"/>
  <c r="N29"/>
  <c r="D15" i="10"/>
  <c r="D17" i="9" s="1"/>
  <c r="D16"/>
  <c r="L49" i="4"/>
  <c r="D11" i="19"/>
  <c r="M23" i="17"/>
  <c r="L23" s="1"/>
  <c r="D15" i="19"/>
  <c r="D38" i="15"/>
  <c r="M29" i="14"/>
  <c r="N29"/>
  <c r="L82" i="1"/>
  <c r="N52"/>
  <c r="L48" i="14"/>
  <c r="D16" i="13"/>
  <c r="D17" i="12" s="1"/>
  <c r="D16"/>
  <c r="D17" i="13"/>
  <c r="D37" i="3"/>
  <c r="D27" s="1"/>
  <c r="D26" s="1"/>
  <c r="L26" i="14"/>
  <c r="L72" s="1"/>
  <c r="L78"/>
  <c r="L84"/>
  <c r="D27" i="12"/>
  <c r="D37"/>
  <c r="D38" i="18"/>
  <c r="M29" i="17"/>
  <c r="N29"/>
  <c r="O33" i="1"/>
  <c r="J26" i="20"/>
  <c r="R4" i="8"/>
  <c r="R6" s="1"/>
  <c r="L88" i="1"/>
  <c r="D37" i="9"/>
  <c r="D27" s="1"/>
  <c r="D26" s="1"/>
  <c r="D11" i="2"/>
  <c r="D13"/>
  <c r="D38" i="12"/>
  <c r="N29" i="11"/>
  <c r="M29"/>
  <c r="D35" i="5"/>
  <c r="D25"/>
  <c r="D12" i="13"/>
  <c r="T4" i="11" s="1"/>
  <c r="T6" s="1"/>
  <c r="D14" i="13"/>
  <c r="D27" i="15"/>
  <c r="D26" s="1"/>
  <c r="D37"/>
  <c r="M58" i="17"/>
  <c r="N58"/>
  <c r="D10" i="16"/>
  <c r="D14"/>
  <c r="M23" i="14"/>
  <c r="L23" s="1"/>
  <c r="L52" i="20"/>
  <c r="L51" s="1"/>
  <c r="L48" s="1"/>
  <c r="M52"/>
  <c r="L78" i="17"/>
  <c r="L26"/>
  <c r="L72" s="1"/>
  <c r="G25" i="20"/>
  <c r="M25" s="1"/>
  <c r="L25" s="1"/>
  <c r="L48" i="11"/>
  <c r="G26" i="17"/>
  <c r="D14" i="2"/>
  <c r="G59" i="20"/>
  <c r="M59" s="1"/>
  <c r="L59" s="1"/>
  <c r="L58" s="1"/>
  <c r="G48"/>
  <c r="M48" s="1"/>
  <c r="M24" i="4"/>
  <c r="L24" s="1"/>
  <c r="D10" i="6"/>
  <c r="D14" s="1"/>
  <c r="M31" i="8"/>
  <c r="N31"/>
  <c r="D38" i="9"/>
  <c r="M30" i="1"/>
  <c r="R4"/>
  <c r="R8" s="1"/>
  <c r="M58" i="14"/>
  <c r="N58"/>
  <c r="M59" i="4"/>
  <c r="N59"/>
  <c r="N58" i="11"/>
  <c r="M58"/>
  <c r="D37" i="18"/>
  <c r="D27" s="1"/>
  <c r="D26" s="1"/>
  <c r="D10" i="31"/>
  <c r="D14" s="1"/>
  <c r="N21" i="20"/>
  <c r="M21"/>
  <c r="M60" i="8"/>
  <c r="N60"/>
  <c r="D11" i="10"/>
  <c r="D13"/>
  <c r="T4" i="8"/>
  <c r="T6" s="1"/>
  <c r="L54"/>
  <c r="L53" s="1"/>
  <c r="L50" s="1"/>
  <c r="M54"/>
  <c r="D36" i="5"/>
  <c r="N30" i="4"/>
  <c r="M30"/>
  <c r="M85" s="1"/>
  <c r="G23" i="20"/>
  <c r="M23" s="1"/>
  <c r="L23" s="1"/>
  <c r="M88" i="1"/>
  <c r="G58" i="20"/>
  <c r="G26" i="11"/>
  <c r="G26" i="20" s="1"/>
  <c r="M26" l="1"/>
  <c r="R4"/>
  <c r="R6" s="1"/>
  <c r="L86" i="8"/>
  <c r="L80"/>
  <c r="L28"/>
  <c r="L74" s="1"/>
  <c r="L84" i="20"/>
  <c r="L26"/>
  <c r="L72" s="1"/>
  <c r="L78"/>
  <c r="D14" i="5"/>
  <c r="D15" i="6"/>
  <c r="D15" i="5" s="1"/>
  <c r="D18" i="9"/>
  <c r="M26" i="17"/>
  <c r="R4"/>
  <c r="R6" s="1"/>
  <c r="D15" i="16"/>
  <c r="D17" i="15" s="1"/>
  <c r="D16"/>
  <c r="D18" i="13"/>
  <c r="D18" i="12"/>
  <c r="D15" s="1"/>
  <c r="D45" s="1"/>
  <c r="D15" i="26"/>
  <c r="D15" i="24"/>
  <c r="J15" s="1"/>
  <c r="D16" i="3"/>
  <c r="D15" i="2"/>
  <c r="D16" s="1"/>
  <c r="D24" i="5"/>
  <c r="M84" i="17"/>
  <c r="M84" i="14"/>
  <c r="D11" i="6"/>
  <c r="D13"/>
  <c r="T4" i="4"/>
  <c r="T6" s="1"/>
  <c r="L85"/>
  <c r="L27"/>
  <c r="L73" s="1"/>
  <c r="L79"/>
  <c r="M84" i="11"/>
  <c r="D11" i="24"/>
  <c r="J11" s="1"/>
  <c r="D26" i="12"/>
  <c r="D15" i="31"/>
  <c r="D12" i="19"/>
  <c r="D14" s="1"/>
  <c r="M86" i="8"/>
  <c r="T4" i="1"/>
  <c r="T8" s="1"/>
  <c r="D16" i="10"/>
  <c r="D17" s="1"/>
  <c r="M58" i="20"/>
  <c r="M84" s="1"/>
  <c r="N58"/>
  <c r="M26" i="11"/>
  <c r="R4"/>
  <c r="R6" s="1"/>
  <c r="D11" i="31"/>
  <c r="D13" s="1"/>
  <c r="L26" i="11"/>
  <c r="L72" s="1"/>
  <c r="L78"/>
  <c r="L84"/>
  <c r="D12" i="24"/>
  <c r="J12" s="1"/>
  <c r="D15" i="9"/>
  <c r="D45" s="1"/>
  <c r="D11" i="16"/>
  <c r="T4" i="14" s="1"/>
  <c r="T6" s="1"/>
  <c r="D18" i="3"/>
  <c r="D16" i="19"/>
  <c r="D17" i="18" s="1"/>
  <c r="D16"/>
  <c r="D11" i="26"/>
  <c r="D16" i="31" l="1"/>
  <c r="D17" s="1"/>
  <c r="D18" i="18"/>
  <c r="D18" i="19"/>
  <c r="D49" i="12"/>
  <c r="S4" i="11"/>
  <c r="S6" s="1"/>
  <c r="D17" i="2"/>
  <c r="D17" i="6"/>
  <c r="D16" i="5"/>
  <c r="D15" i="18"/>
  <c r="D45" s="1"/>
  <c r="D17" i="19"/>
  <c r="D13" i="5"/>
  <c r="D43" s="1"/>
  <c r="F15" i="26"/>
  <c r="D16"/>
  <c r="D17"/>
  <c r="S4" i="8"/>
  <c r="S6" s="1"/>
  <c r="D49" i="9"/>
  <c r="T4" i="20"/>
  <c r="T6" s="1"/>
  <c r="T4" i="17"/>
  <c r="T6" s="1"/>
  <c r="D16" i="16"/>
  <c r="D17" i="24" s="1"/>
  <c r="J17" s="1"/>
  <c r="F12" i="26"/>
  <c r="D14"/>
  <c r="D18" s="1"/>
  <c r="D12"/>
  <c r="D13" i="16"/>
  <c r="D16" i="24"/>
  <c r="J16" s="1"/>
  <c r="D17" i="3"/>
  <c r="D15" s="1"/>
  <c r="D45" s="1"/>
  <c r="D16" i="6"/>
  <c r="D49" i="3" l="1"/>
  <c r="S4" i="1"/>
  <c r="S8" s="1"/>
  <c r="S4" i="4"/>
  <c r="S6" s="1"/>
  <c r="D47" i="5"/>
  <c r="D17" i="16"/>
  <c r="D18" i="15"/>
  <c r="D15" s="1"/>
  <c r="D45" s="1"/>
  <c r="D14" i="24"/>
  <c r="S4" i="20"/>
  <c r="S6" s="1"/>
  <c r="S4" i="17"/>
  <c r="S6" s="1"/>
  <c r="D49" i="18"/>
  <c r="D49" i="15" l="1"/>
  <c r="S4" i="14"/>
  <c r="S6" s="1"/>
  <c r="D18" i="24"/>
  <c r="J14"/>
</calcChain>
</file>

<file path=xl/comments1.xml><?xml version="1.0" encoding="utf-8"?>
<comments xmlns="http://schemas.openxmlformats.org/spreadsheetml/2006/main">
  <authors>
    <author/>
  </authors>
  <commentList>
    <comment ref="D10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0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0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0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0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0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0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0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0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11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1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1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10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0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0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11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1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1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D11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1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1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11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1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1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10" authorId="0">
      <text>
        <r>
          <rPr>
            <sz val="10"/>
            <rFont val="Arial Cyr"/>
            <charset val="1"/>
          </rPr>
          <t>проверить кол.месяцев</t>
        </r>
      </text>
    </comment>
    <comment ref="F10" authorId="0">
      <text>
        <r>
          <rPr>
            <sz val="10"/>
            <rFont val="Arial Cyr"/>
            <charset val="1"/>
          </rPr>
          <t>Дней отпуска в год = 
дней отпуска/
12 мес*кол.мес.платных услуг</t>
        </r>
      </text>
    </comment>
    <comment ref="G10" authorId="0">
      <text>
        <r>
          <rPr>
            <sz val="10"/>
            <rFont val="Arial Cyr"/>
            <charset val="1"/>
          </rPr>
          <t>дней отпуска в месяц=
дней отпуска в год/
кол.мес. пл.услуг</t>
        </r>
      </text>
    </comment>
  </commentList>
</comments>
</file>

<file path=xl/sharedStrings.xml><?xml version="1.0" encoding="utf-8"?>
<sst xmlns="http://schemas.openxmlformats.org/spreadsheetml/2006/main" count="1221" uniqueCount="199">
  <si>
    <t>Расчет доходов и расходов дополнительных платных образовательных услуг</t>
  </si>
  <si>
    <t xml:space="preserve">                 На  2024-2025 учебный год  (сентябрь -май)</t>
  </si>
  <si>
    <t>Проверка</t>
  </si>
  <si>
    <t>Оплата труда</t>
  </si>
  <si>
    <t>Учреждение</t>
  </si>
  <si>
    <t xml:space="preserve">Муниципальное бюджетное образовательное учреждение  дополнительного образования        </t>
  </si>
  <si>
    <t>"Центр дополнительного образования детей им.В.Волошиной"</t>
  </si>
  <si>
    <t>Наименование:</t>
  </si>
  <si>
    <t>"Весёлый карандаш 6-8 лет"</t>
  </si>
  <si>
    <t>По программе:</t>
  </si>
  <si>
    <t xml:space="preserve">Весёлый карандаш </t>
  </si>
  <si>
    <t xml:space="preserve">       Количество учащихся :</t>
  </si>
  <si>
    <t>число занятий в неделю на 1 уч-ся в 1 группе</t>
  </si>
  <si>
    <t>число занятий в месяц</t>
  </si>
  <si>
    <t>кол-во групп</t>
  </si>
  <si>
    <t xml:space="preserve">число недель занятий </t>
  </si>
  <si>
    <r>
      <rPr>
        <sz val="12"/>
        <rFont val="Times New Roman"/>
        <family val="1"/>
        <charset val="1"/>
      </rPr>
      <t xml:space="preserve">кол-во учен.часов </t>
    </r>
    <r>
      <rPr>
        <sz val="12"/>
        <color rgb="FFFFFFFF"/>
        <rFont val="Times New Roman"/>
        <family val="1"/>
        <charset val="1"/>
      </rPr>
      <t>на 2024 г (план)</t>
    </r>
  </si>
  <si>
    <t>кол-во занятий в год</t>
  </si>
  <si>
    <t>договорная цена месяц, руб</t>
  </si>
  <si>
    <t xml:space="preserve"> </t>
  </si>
  <si>
    <t>договорная цена за 1 занятие, руб</t>
  </si>
  <si>
    <t>плата за обучение в год на 1 уч-ся</t>
  </si>
  <si>
    <t>плата за обучение учащихся</t>
  </si>
  <si>
    <t>руб.</t>
  </si>
  <si>
    <t xml:space="preserve">           Расчет суммы в год </t>
  </si>
  <si>
    <t>калькул</t>
  </si>
  <si>
    <t>% из положения</t>
  </si>
  <si>
    <t>С т а т ь и   р а с х о д о в</t>
  </si>
  <si>
    <t xml:space="preserve">3 квартал </t>
  </si>
  <si>
    <t xml:space="preserve">4 квартал </t>
  </si>
  <si>
    <t xml:space="preserve">1 квартал </t>
  </si>
  <si>
    <t xml:space="preserve">2 квартал </t>
  </si>
  <si>
    <t>за 1 час</t>
  </si>
  <si>
    <t xml:space="preserve">2. Статья 210 "Оплата труда и начисления на оплату труда" </t>
  </si>
  <si>
    <t>Коэффициент 1 чел.</t>
  </si>
  <si>
    <r>
      <rPr>
        <sz val="12"/>
        <rFont val="Times New Roman"/>
        <family val="1"/>
        <charset val="1"/>
      </rPr>
      <t xml:space="preserve">                               </t>
    </r>
    <r>
      <rPr>
        <i/>
        <sz val="12"/>
        <rFont val="Times New Roman"/>
        <family val="1"/>
        <charset val="1"/>
      </rPr>
      <t xml:space="preserve"> Подстатья 211</t>
    </r>
    <r>
      <rPr>
        <sz val="12"/>
        <rFont val="Times New Roman"/>
        <family val="1"/>
        <charset val="1"/>
      </rPr>
      <t xml:space="preserve"> "Заработная плата"</t>
    </r>
  </si>
  <si>
    <r>
      <rPr>
        <b/>
        <i/>
        <sz val="12"/>
        <rFont val="Times New Roman"/>
        <family val="1"/>
        <charset val="1"/>
      </rPr>
      <t>Подстатья 211</t>
    </r>
    <r>
      <rPr>
        <b/>
        <sz val="12"/>
        <rFont val="Times New Roman"/>
        <family val="1"/>
        <charset val="1"/>
      </rPr>
      <t xml:space="preserve"> "Заработная плата"</t>
    </r>
  </si>
  <si>
    <t>стоимость</t>
  </si>
  <si>
    <t>цена за 1 занятие</t>
  </si>
  <si>
    <t>51% педагоги</t>
  </si>
  <si>
    <r>
      <rPr>
        <b/>
        <sz val="12"/>
        <rFont val="Times New Roman"/>
        <family val="1"/>
        <charset val="1"/>
      </rPr>
      <t xml:space="preserve">                               </t>
    </r>
    <r>
      <rPr>
        <b/>
        <i/>
        <sz val="12"/>
        <rFont val="Times New Roman"/>
        <family val="1"/>
        <charset val="1"/>
      </rPr>
      <t xml:space="preserve"> Подстатья 211</t>
    </r>
    <r>
      <rPr>
        <b/>
        <sz val="12"/>
        <rFont val="Times New Roman"/>
        <family val="1"/>
        <charset val="1"/>
      </rPr>
      <t xml:space="preserve"> "Заработная плата"</t>
    </r>
  </si>
  <si>
    <r>
      <rPr>
        <sz val="12"/>
        <rFont val="Times New Roman"/>
        <family val="1"/>
        <charset val="1"/>
      </rPr>
      <t xml:space="preserve"> </t>
    </r>
    <r>
      <rPr>
        <i/>
        <sz val="12"/>
        <rFont val="Times New Roman"/>
        <family val="1"/>
        <charset val="1"/>
      </rPr>
      <t xml:space="preserve"> Подстатья 212</t>
    </r>
    <r>
      <rPr>
        <sz val="12"/>
        <rFont val="Times New Roman"/>
        <family val="1"/>
        <charset val="1"/>
      </rPr>
      <t xml:space="preserve"> "Прочие выплаты"</t>
    </r>
  </si>
  <si>
    <r>
      <rPr>
        <b/>
        <i/>
        <sz val="12"/>
        <rFont val="Times New Roman"/>
        <family val="1"/>
        <charset val="1"/>
      </rPr>
      <t>Подстатья 213</t>
    </r>
    <r>
      <rPr>
        <b/>
        <sz val="12"/>
        <rFont val="Times New Roman"/>
        <family val="1"/>
        <charset val="1"/>
      </rPr>
      <t xml:space="preserve"> "Начисления на оплату труда"</t>
    </r>
  </si>
  <si>
    <t xml:space="preserve">стоимость </t>
  </si>
  <si>
    <t>9% директор</t>
  </si>
  <si>
    <t>3. Статья 220 "Приобретение услуг"</t>
  </si>
  <si>
    <r>
      <rPr>
        <i/>
        <sz val="12"/>
        <rFont val="Times New Roman"/>
        <family val="1"/>
        <charset val="1"/>
      </rPr>
      <t>Подстатья 221</t>
    </r>
    <r>
      <rPr>
        <sz val="12"/>
        <rFont val="Times New Roman"/>
        <family val="1"/>
        <charset val="1"/>
      </rPr>
      <t xml:space="preserve"> "Услуги связи"</t>
    </r>
  </si>
  <si>
    <r>
      <rPr>
        <i/>
        <sz val="12"/>
        <rFont val="Times New Roman"/>
        <family val="1"/>
        <charset val="1"/>
      </rPr>
      <t>Подстатья 222</t>
    </r>
    <r>
      <rPr>
        <sz val="12"/>
        <rFont val="Times New Roman"/>
        <family val="1"/>
        <charset val="1"/>
      </rPr>
      <t xml:space="preserve"> "Транспортные услуги"</t>
    </r>
  </si>
  <si>
    <r>
      <rPr>
        <b/>
        <i/>
        <sz val="12"/>
        <rFont val="Times New Roman"/>
        <family val="1"/>
        <charset val="1"/>
      </rPr>
      <t>Подстатья 223 "</t>
    </r>
    <r>
      <rPr>
        <b/>
        <sz val="12"/>
        <rFont val="Times New Roman"/>
        <family val="1"/>
        <charset val="1"/>
      </rPr>
      <t xml:space="preserve">Коммунальные услуги" </t>
    </r>
  </si>
  <si>
    <t>оплата отопления  и технологических нужд</t>
  </si>
  <si>
    <t>(</t>
  </si>
  <si>
    <t>гк. * 313,408 р. с НДС+</t>
  </si>
  <si>
    <t xml:space="preserve">тн. * 2,9854 руб.) </t>
  </si>
  <si>
    <t>услуга(</t>
  </si>
  <si>
    <t>гк. * 59,0472 р.  (тариф с НДС)</t>
  </si>
  <si>
    <t>оплата потребления электрической энергии</t>
  </si>
  <si>
    <t>кв/час * 1,47692 руб. * 1,18</t>
  </si>
  <si>
    <t xml:space="preserve">дополнительно на компьютерный класс </t>
  </si>
  <si>
    <t xml:space="preserve">  кол-во компьтеров * мощность</t>
  </si>
  <si>
    <t xml:space="preserve">* 0,976 руб *1,18* кол-во занятий </t>
  </si>
  <si>
    <t>оплата водоснабжения помещений</t>
  </si>
  <si>
    <t xml:space="preserve">   водоснабжения</t>
  </si>
  <si>
    <t>чел. *  1 руб в мес</t>
  </si>
  <si>
    <t xml:space="preserve">   водоотвведение</t>
  </si>
  <si>
    <t>Подстатья 224  "Арендная плата за  пользованием имуществом"</t>
  </si>
  <si>
    <t>Подстатья 225   "Услуги по содержанию имущества"</t>
  </si>
  <si>
    <t>оплата содержания помещений</t>
  </si>
  <si>
    <t xml:space="preserve">   спецавтохозяйство</t>
  </si>
  <si>
    <t>куб.м. * 12 мес. * 53,1 руб. * 1,18 ндс</t>
  </si>
  <si>
    <t>оплата текущего ремонта оборудования и инвентаря</t>
  </si>
  <si>
    <t>оплата текущего ремонта зданий и помещений</t>
  </si>
  <si>
    <r>
      <rPr>
        <b/>
        <i/>
        <sz val="12"/>
        <rFont val="Times New Roman"/>
        <family val="1"/>
        <charset val="1"/>
      </rPr>
      <t>Подстатья 226  "</t>
    </r>
    <r>
      <rPr>
        <b/>
        <sz val="12"/>
        <rFont val="Times New Roman"/>
        <family val="1"/>
        <charset val="1"/>
      </rPr>
      <t>Прочие услуги"</t>
    </r>
  </si>
  <si>
    <t>ведение учёта вспомогательных финансовых операций по платным услугам</t>
  </si>
  <si>
    <t>оплата услуг банка</t>
  </si>
  <si>
    <t>оплата прочих текущих услуг:</t>
  </si>
  <si>
    <t>оплата по срочным трудовым договорам</t>
  </si>
  <si>
    <t>5.  Статья 290  "Прочие расходы"</t>
  </si>
  <si>
    <t xml:space="preserve">      культурно-массовые мероприятия, реклама</t>
  </si>
  <si>
    <t xml:space="preserve">      налог на прибыль</t>
  </si>
  <si>
    <t>6.  Статья 300 "Поступление нефинансовых активов"</t>
  </si>
  <si>
    <r>
      <rPr>
        <b/>
        <i/>
        <sz val="12"/>
        <rFont val="Times New Roman"/>
        <family val="1"/>
        <charset val="1"/>
      </rPr>
      <t>Подстатья 310 "</t>
    </r>
    <r>
      <rPr>
        <b/>
        <sz val="12"/>
        <rFont val="Times New Roman"/>
        <family val="1"/>
        <charset val="1"/>
      </rPr>
      <t>Увеличение стоимости основных средств"</t>
    </r>
  </si>
  <si>
    <t>приобретение оборудования, техники, мебели</t>
  </si>
  <si>
    <t>приобретение инструмента и инвентаря</t>
  </si>
  <si>
    <t>игрушки</t>
  </si>
  <si>
    <t>библиотечный фонд</t>
  </si>
  <si>
    <t>наглядные пособия и экспонаты</t>
  </si>
  <si>
    <r>
      <rPr>
        <b/>
        <i/>
        <sz val="12"/>
        <rFont val="Times New Roman"/>
        <family val="1"/>
        <charset val="1"/>
      </rPr>
      <t>Подстатья 340 "</t>
    </r>
    <r>
      <rPr>
        <b/>
        <sz val="12"/>
        <rFont val="Times New Roman"/>
        <family val="1"/>
        <charset val="1"/>
      </rPr>
      <t>Увеличение стоимости  материальных запасов"</t>
    </r>
  </si>
  <si>
    <t>приобретение запасных частей</t>
  </si>
  <si>
    <t>оплата продуктов питания</t>
  </si>
  <si>
    <t>оплата спец.топлива и ГСМ</t>
  </si>
  <si>
    <t>оплата расходных материалов и предметов снабжения.</t>
  </si>
  <si>
    <t xml:space="preserve">   медикаменты </t>
  </si>
  <si>
    <t xml:space="preserve">   канцелярские товары</t>
  </si>
  <si>
    <t xml:space="preserve">   посуда</t>
  </si>
  <si>
    <t>материал для пошива костюмов</t>
  </si>
  <si>
    <t xml:space="preserve">   строительные материалы</t>
  </si>
  <si>
    <t xml:space="preserve">   моющие средства</t>
  </si>
  <si>
    <t>оплата текущих расходов на ремонт здания</t>
  </si>
  <si>
    <t xml:space="preserve">Директор  МБОУ ДО "ЦДОД им.В.Волошиной"                                                                </t>
  </si>
  <si>
    <t xml:space="preserve"> И.П. Чередова</t>
  </si>
  <si>
    <t>Специалист ЭО</t>
  </si>
  <si>
    <t>А.Р. Саттарова</t>
  </si>
  <si>
    <t>Расчет  резерва на оплату отпусков</t>
  </si>
  <si>
    <t xml:space="preserve">По программе:  Весёлый карандаш </t>
  </si>
  <si>
    <t>№ строки</t>
  </si>
  <si>
    <t>Показатель</t>
  </si>
  <si>
    <t>Значение</t>
  </si>
  <si>
    <t>в год</t>
  </si>
  <si>
    <t>в мес.</t>
  </si>
  <si>
    <t>Предполагаемая сумма отпускных за год, руб.</t>
  </si>
  <si>
    <t>Страховые взносы с предполагаемой суммы отпускных за год (стр.1 х 30,2%), руб.</t>
  </si>
  <si>
    <t>Неиспользованный резерв отпусков</t>
  </si>
  <si>
    <t>Предельная сумма отчислений в резерв (предполагаемая сумма отпускных за год с учетом страх.взносов) (стр.1 + стр.2), руб.</t>
  </si>
  <si>
    <t>Предполагаемая сумма расходов на оплату труда за год (без учета отпускных), руб.</t>
  </si>
  <si>
    <t>Страховые взносы с предполагаемой суммы расходов на оплату труда за год (стр.5 х 30,2%), руб.</t>
  </si>
  <si>
    <t>Предполагаемая годовая сумма расходов на оплату труда с учетом страх.взносов (стр.5 + стр.6)</t>
  </si>
  <si>
    <t>Процент ежемесячных отчислений в резерв ((стр.4 / стр.7) х 100)</t>
  </si>
  <si>
    <t>Сумма ежемесячных отчислений в резерв (сумма фактических расходов на оплату труда за месяц + страх.взносы) х стр.8)</t>
  </si>
  <si>
    <t>Определяется ежемесячно</t>
  </si>
  <si>
    <t xml:space="preserve">Смету составил специалист ЭО  </t>
  </si>
  <si>
    <t>УТВЕРЖДАЮ:</t>
  </si>
  <si>
    <t>"01" сентября 2024 г</t>
  </si>
  <si>
    <t>КАЛЬКУЛЯЦИЯ</t>
  </si>
  <si>
    <t xml:space="preserve">дополнительных платных образовательных услуг </t>
  </si>
  <si>
    <t>№</t>
  </si>
  <si>
    <t>Показатели</t>
  </si>
  <si>
    <t>Сумма в год</t>
  </si>
  <si>
    <t>Стоимость          1 чел.часа, руб.</t>
  </si>
  <si>
    <t>Прямые затраты, в том числе:</t>
  </si>
  <si>
    <t>1.1</t>
  </si>
  <si>
    <t>1.2</t>
  </si>
  <si>
    <t>Начисления на оплату труда</t>
  </si>
  <si>
    <t>1.3</t>
  </si>
  <si>
    <t>Резерв отпускных (включая ЕСН)</t>
  </si>
  <si>
    <t>1.4</t>
  </si>
  <si>
    <t>1.5</t>
  </si>
  <si>
    <t>1.6</t>
  </si>
  <si>
    <t>1.7</t>
  </si>
  <si>
    <t>1.8</t>
  </si>
  <si>
    <t>1.9</t>
  </si>
  <si>
    <t>Косвенные затраты, в том числе:</t>
  </si>
  <si>
    <t>2.1</t>
  </si>
  <si>
    <t>Услуга на оплату труда по срочным трудовым договорам</t>
  </si>
  <si>
    <t>2.1.1</t>
  </si>
  <si>
    <t xml:space="preserve">   заведующей</t>
  </si>
  <si>
    <t xml:space="preserve">   администратора</t>
  </si>
  <si>
    <t xml:space="preserve">   учителя</t>
  </si>
  <si>
    <t xml:space="preserve">   воспитателя</t>
  </si>
  <si>
    <t xml:space="preserve">   педагога </t>
  </si>
  <si>
    <t xml:space="preserve">   дежурной</t>
  </si>
  <si>
    <t xml:space="preserve">   уборщицы</t>
  </si>
  <si>
    <t xml:space="preserve">   дворника</t>
  </si>
  <si>
    <t>2.1.2</t>
  </si>
  <si>
    <t>2.2</t>
  </si>
  <si>
    <t>Оплата коммунальных услуг</t>
  </si>
  <si>
    <t>2.3</t>
  </si>
  <si>
    <t>Оплата бухгалтерских услуг по учету дополнительных  финансовых операций</t>
  </si>
  <si>
    <t>2.4</t>
  </si>
  <si>
    <t>Оплата услуг банка</t>
  </si>
  <si>
    <t>2.5</t>
  </si>
  <si>
    <t xml:space="preserve">Канцелярские товары </t>
  </si>
  <si>
    <t>2.6</t>
  </si>
  <si>
    <t>Посуда</t>
  </si>
  <si>
    <t>2.7</t>
  </si>
  <si>
    <t>Приобретение оборудования, техники, мебели</t>
  </si>
  <si>
    <t>2.8</t>
  </si>
  <si>
    <t>Материал для пошива костюмов</t>
  </si>
  <si>
    <t>Итого затрат:</t>
  </si>
  <si>
    <t>Количество детей, чел.</t>
  </si>
  <si>
    <t>Количество занятий в год</t>
  </si>
  <si>
    <t>Стоимость за 1 занятие, руб.</t>
  </si>
  <si>
    <t>Исп. Гарипова А.Р.</t>
  </si>
  <si>
    <t>"Групповые занятия 3-5 лет"</t>
  </si>
  <si>
    <t>Набор из 9 программ</t>
  </si>
  <si>
    <t>ст-ть в месяц</t>
  </si>
  <si>
    <t>(8 часов в неделю 32 часа в месяц)</t>
  </si>
  <si>
    <t>1 занятие</t>
  </si>
  <si>
    <t>кол-во учен.часов на 2024 г (план)</t>
  </si>
  <si>
    <t>Групповые занятия 4-5 лет</t>
  </si>
  <si>
    <t>"Английский для малышей 6-8 лет"</t>
  </si>
  <si>
    <t xml:space="preserve">Английский для малышей </t>
  </si>
  <si>
    <t>По программе: Английский для малышей</t>
  </si>
  <si>
    <t>"Педагог-психолог"</t>
  </si>
  <si>
    <t>Я и мои друзья (индивидуальное занятие)</t>
  </si>
  <si>
    <t xml:space="preserve">число занятий в неделю на 1 уч-ся </t>
  </si>
  <si>
    <t>Наименование: "Педагог-психолог"</t>
  </si>
  <si>
    <t>"Развитие речи"  (индивидуальное занятие)</t>
  </si>
  <si>
    <t xml:space="preserve">Развитие речи </t>
  </si>
  <si>
    <t>число занятий в неделю на 1 уч-ся</t>
  </si>
  <si>
    <t xml:space="preserve">                 На  2024-2025 учебный год  (сентябрь -июнь)</t>
  </si>
  <si>
    <t>"Логопед"</t>
  </si>
  <si>
    <t>Развитие фонематического слуха и формирование звукопроизношения (индивидуальное занятие)</t>
  </si>
  <si>
    <t>по программе  "Развитие фонематического слуха и формирование звукопроизношения"  индивидуальное занятие</t>
  </si>
  <si>
    <t xml:space="preserve">составил специалист ЭО  </t>
  </si>
  <si>
    <t xml:space="preserve">                 На  2023-2024 учебный год  (сентябрь -май)</t>
  </si>
  <si>
    <t>свод</t>
  </si>
  <si>
    <t>А.Р. Гарипова</t>
  </si>
  <si>
    <t>СВОД</t>
  </si>
  <si>
    <t>составил специалист ЭО  Саттарова А.Р.</t>
  </si>
</sst>
</file>

<file path=xl/styles.xml><?xml version="1.0" encoding="utf-8"?>
<styleSheet xmlns="http://schemas.openxmlformats.org/spreadsheetml/2006/main">
  <numFmts count="9">
    <numFmt numFmtId="164" formatCode="_-* #,##0.00_р_._-;\-* #,##0.00_р_._-;_-* \-??_р_._-;_-@_-"/>
    <numFmt numFmtId="165" formatCode="0.0%"/>
    <numFmt numFmtId="166" formatCode="0.0"/>
    <numFmt numFmtId="167" formatCode="#,##0.0"/>
    <numFmt numFmtId="168" formatCode="#,##0.00_ ;\-#,##0.00\ "/>
    <numFmt numFmtId="169" formatCode="0.000%"/>
    <numFmt numFmtId="170" formatCode="#,##0.000"/>
    <numFmt numFmtId="171" formatCode="0.000"/>
    <numFmt numFmtId="172" formatCode="_-* #,##0.00\ _₽_-;\-* #,##0.00\ _₽_-;_-* \-??\ _₽_-;_-@_-"/>
  </numFmts>
  <fonts count="35">
    <font>
      <sz val="10"/>
      <name val="Arial Cyr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5"/>
      <name val="Times New Roman"/>
      <family val="1"/>
      <charset val="1"/>
    </font>
    <font>
      <b/>
      <sz val="16"/>
      <name val="Times New Roman"/>
      <family val="1"/>
      <charset val="1"/>
    </font>
    <font>
      <b/>
      <u/>
      <sz val="11"/>
      <name val="Times New Roman"/>
      <family val="1"/>
      <charset val="1"/>
    </font>
    <font>
      <b/>
      <u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1"/>
    </font>
    <font>
      <i/>
      <sz val="14"/>
      <name val="Times New Roman"/>
      <family val="1"/>
      <charset val="1"/>
    </font>
    <font>
      <sz val="1"/>
      <name val="Times New Roman"/>
      <family val="1"/>
      <charset val="1"/>
    </font>
    <font>
      <sz val="8"/>
      <name val="Times New Roman"/>
      <family val="1"/>
      <charset val="1"/>
    </font>
    <font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sz val="14"/>
      <name val="Times New Roman"/>
      <family val="1"/>
      <charset val="1"/>
    </font>
    <font>
      <b/>
      <sz val="14"/>
      <color rgb="FF993300"/>
      <name val="Times New Roman"/>
      <family val="1"/>
      <charset val="1"/>
    </font>
    <font>
      <sz val="3"/>
      <name val="Times New Roman"/>
      <family val="1"/>
      <charset val="1"/>
    </font>
    <font>
      <b/>
      <sz val="12"/>
      <color rgb="FF333399"/>
      <name val="Times New Roman"/>
      <family val="1"/>
      <charset val="1"/>
    </font>
    <font>
      <i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2"/>
      <color rgb="FF993300"/>
      <name val="Times New Roman"/>
      <family val="1"/>
      <charset val="1"/>
    </font>
    <font>
      <sz val="13"/>
      <name val="Times New Roman"/>
      <family val="1"/>
      <charset val="1"/>
    </font>
    <font>
      <u/>
      <sz val="12"/>
      <name val="Times New Roman"/>
      <family val="1"/>
      <charset val="1"/>
    </font>
    <font>
      <i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6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9"/>
      <name val="Times New Roman"/>
      <family val="1"/>
      <charset val="1"/>
    </font>
    <font>
      <b/>
      <i/>
      <sz val="10"/>
      <name val="Times New Roman"/>
      <family val="1"/>
      <charset val="1"/>
    </font>
    <font>
      <sz val="12"/>
      <color rgb="FFC9211E"/>
      <name val="Times New Roman"/>
      <family val="1"/>
      <charset val="1"/>
    </font>
    <font>
      <sz val="1"/>
      <color rgb="FFC9211E"/>
      <name val="Times New Roman"/>
      <family val="1"/>
      <charset val="1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34" fillId="0" borderId="0" applyBorder="0" applyProtection="0"/>
    <xf numFmtId="9" fontId="34" fillId="0" borderId="0" applyBorder="0" applyProtection="0"/>
    <xf numFmtId="0" fontId="34" fillId="0" borderId="0"/>
  </cellStyleXfs>
  <cellXfs count="286">
    <xf numFmtId="0" fontId="0" fillId="0" borderId="0" xfId="0"/>
    <xf numFmtId="0" fontId="8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3" applyFont="1"/>
    <xf numFmtId="0" fontId="5" fillId="0" borderId="0" xfId="3" applyFont="1"/>
    <xf numFmtId="0" fontId="6" fillId="0" borderId="0" xfId="0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7" fillId="0" borderId="0" xfId="0" applyFont="1"/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/>
    <xf numFmtId="2" fontId="7" fillId="0" borderId="0" xfId="0" applyNumberFormat="1" applyFont="1" applyBorder="1"/>
    <xf numFmtId="0" fontId="7" fillId="0" borderId="0" xfId="0" applyFont="1" applyAlignment="1">
      <alignment horizontal="center"/>
    </xf>
    <xf numFmtId="3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3" fontId="11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Border="1"/>
    <xf numFmtId="0" fontId="11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1" fillId="0" borderId="7" xfId="0" applyFont="1" applyBorder="1"/>
    <xf numFmtId="0" fontId="11" fillId="0" borderId="8" xfId="0" applyFont="1" applyBorder="1"/>
    <xf numFmtId="3" fontId="2" fillId="0" borderId="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0" fontId="2" fillId="0" borderId="10" xfId="0" applyFont="1" applyBorder="1"/>
    <xf numFmtId="0" fontId="8" fillId="0" borderId="0" xfId="0" applyFont="1" applyBorder="1"/>
    <xf numFmtId="3" fontId="2" fillId="0" borderId="11" xfId="0" applyNumberFormat="1" applyFont="1" applyBorder="1" applyAlignment="1">
      <alignment horizontal="center"/>
    </xf>
    <xf numFmtId="0" fontId="2" fillId="0" borderId="5" xfId="0" applyFont="1" applyBorder="1"/>
    <xf numFmtId="0" fontId="15" fillId="0" borderId="2" xfId="0" applyFont="1" applyBorder="1"/>
    <xf numFmtId="0" fontId="15" fillId="0" borderId="3" xfId="0" applyFont="1" applyBorder="1"/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/>
    <xf numFmtId="2" fontId="17" fillId="0" borderId="0" xfId="0" applyNumberFormat="1" applyFont="1"/>
    <xf numFmtId="9" fontId="7" fillId="0" borderId="0" xfId="0" applyNumberFormat="1" applyFont="1" applyAlignment="1">
      <alignment horizontal="center"/>
    </xf>
    <xf numFmtId="3" fontId="7" fillId="0" borderId="0" xfId="0" applyNumberFormat="1" applyFont="1"/>
    <xf numFmtId="164" fontId="2" fillId="0" borderId="0" xfId="1" applyFont="1" applyBorder="1" applyAlignment="1" applyProtection="1"/>
    <xf numFmtId="0" fontId="18" fillId="0" borderId="10" xfId="0" applyFont="1" applyBorder="1"/>
    <xf numFmtId="0" fontId="18" fillId="0" borderId="0" xfId="0" applyFont="1" applyBorder="1"/>
    <xf numFmtId="3" fontId="18" fillId="0" borderId="6" xfId="0" applyNumberFormat="1" applyFont="1" applyBorder="1" applyAlignment="1">
      <alignment horizontal="center"/>
    </xf>
    <xf numFmtId="0" fontId="2" fillId="0" borderId="12" xfId="0" applyFont="1" applyBorder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9" fontId="2" fillId="0" borderId="0" xfId="0" applyNumberFormat="1" applyFo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6" fontId="2" fillId="0" borderId="1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0" fillId="0" borderId="19" xfId="0" applyFont="1" applyBorder="1"/>
    <xf numFmtId="0" fontId="2" fillId="0" borderId="20" xfId="0" applyFont="1" applyBorder="1"/>
    <xf numFmtId="2" fontId="2" fillId="0" borderId="21" xfId="0" applyNumberFormat="1" applyFont="1" applyBorder="1" applyAlignment="1">
      <alignment horizontal="right"/>
    </xf>
    <xf numFmtId="0" fontId="7" fillId="0" borderId="22" xfId="0" applyFont="1" applyBorder="1"/>
    <xf numFmtId="2" fontId="21" fillId="0" borderId="0" xfId="0" applyNumberFormat="1" applyFont="1" applyBorder="1" applyAlignment="1">
      <alignment horizontal="center"/>
    </xf>
    <xf numFmtId="0" fontId="22" fillId="0" borderId="0" xfId="0" applyFont="1" applyBorder="1"/>
    <xf numFmtId="2" fontId="21" fillId="0" borderId="23" xfId="0" applyNumberFormat="1" applyFont="1" applyBorder="1"/>
    <xf numFmtId="0" fontId="2" fillId="0" borderId="19" xfId="0" applyFont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0" fontId="2" fillId="0" borderId="23" xfId="0" applyFont="1" applyBorder="1"/>
    <xf numFmtId="0" fontId="20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2" fontId="2" fillId="0" borderId="26" xfId="0" applyNumberFormat="1" applyFont="1" applyBorder="1" applyAlignment="1">
      <alignment horizontal="right"/>
    </xf>
    <xf numFmtId="0" fontId="7" fillId="0" borderId="27" xfId="0" applyFont="1" applyBorder="1"/>
    <xf numFmtId="2" fontId="21" fillId="0" borderId="28" xfId="0" applyNumberFormat="1" applyFont="1" applyBorder="1" applyAlignment="1">
      <alignment horizontal="center"/>
    </xf>
    <xf numFmtId="0" fontId="22" fillId="0" borderId="28" xfId="0" applyFont="1" applyBorder="1"/>
    <xf numFmtId="9" fontId="2" fillId="0" borderId="29" xfId="0" applyNumberFormat="1" applyFont="1" applyBorder="1" applyAlignment="1">
      <alignment horizontal="left"/>
    </xf>
    <xf numFmtId="0" fontId="18" fillId="0" borderId="10" xfId="0" applyFont="1" applyBorder="1" applyAlignment="1"/>
    <xf numFmtId="0" fontId="18" fillId="0" borderId="0" xfId="0" applyFont="1" applyBorder="1" applyAlignment="1"/>
    <xf numFmtId="3" fontId="18" fillId="0" borderId="5" xfId="0" applyNumberFormat="1" applyFont="1" applyBorder="1" applyAlignment="1">
      <alignment horizontal="center"/>
    </xf>
    <xf numFmtId="2" fontId="23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19" fillId="0" borderId="7" xfId="0" applyFont="1" applyBorder="1"/>
    <xf numFmtId="0" fontId="7" fillId="0" borderId="8" xfId="0" applyFont="1" applyBorder="1"/>
    <xf numFmtId="3" fontId="24" fillId="0" borderId="6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0" fontId="20" fillId="0" borderId="13" xfId="0" applyFont="1" applyBorder="1"/>
    <xf numFmtId="0" fontId="7" fillId="0" borderId="14" xfId="0" applyFont="1" applyBorder="1"/>
    <xf numFmtId="0" fontId="14" fillId="0" borderId="0" xfId="0" applyFont="1"/>
    <xf numFmtId="165" fontId="2" fillId="0" borderId="20" xfId="0" applyNumberFormat="1" applyFont="1" applyBorder="1"/>
    <xf numFmtId="49" fontId="2" fillId="0" borderId="20" xfId="0" applyNumberFormat="1" applyFont="1" applyBorder="1"/>
    <xf numFmtId="167" fontId="2" fillId="0" borderId="9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164" fontId="2" fillId="0" borderId="0" xfId="1" applyFont="1" applyBorder="1" applyAlignment="1" applyProtection="1">
      <alignment horizontal="center"/>
    </xf>
    <xf numFmtId="0" fontId="25" fillId="0" borderId="0" xfId="0" applyFont="1"/>
    <xf numFmtId="0" fontId="19" fillId="0" borderId="10" xfId="0" applyFont="1" applyBorder="1" applyAlignment="1">
      <alignment horizontal="right"/>
    </xf>
    <xf numFmtId="0" fontId="19" fillId="0" borderId="0" xfId="0" applyFont="1" applyBorder="1"/>
    <xf numFmtId="165" fontId="19" fillId="0" borderId="0" xfId="0" applyNumberFormat="1" applyFont="1" applyBorder="1"/>
    <xf numFmtId="167" fontId="19" fillId="0" borderId="7" xfId="0" applyNumberFormat="1" applyFont="1" applyBorder="1" applyAlignment="1">
      <alignment horizontal="center"/>
    </xf>
    <xf numFmtId="167" fontId="19" fillId="0" borderId="6" xfId="0" applyNumberFormat="1" applyFont="1" applyBorder="1" applyAlignment="1">
      <alignment horizontal="center"/>
    </xf>
    <xf numFmtId="0" fontId="19" fillId="0" borderId="0" xfId="0" applyFont="1"/>
    <xf numFmtId="0" fontId="19" fillId="0" borderId="30" xfId="0" applyFont="1" applyBorder="1" applyAlignment="1">
      <alignment horizontal="right"/>
    </xf>
    <xf numFmtId="0" fontId="19" fillId="0" borderId="31" xfId="0" applyFont="1" applyBorder="1"/>
    <xf numFmtId="165" fontId="19" fillId="0" borderId="31" xfId="0" applyNumberFormat="1" applyFont="1" applyBorder="1"/>
    <xf numFmtId="167" fontId="19" fillId="0" borderId="2" xfId="0" applyNumberFormat="1" applyFont="1" applyBorder="1" applyAlignment="1">
      <alignment horizontal="center"/>
    </xf>
    <xf numFmtId="0" fontId="19" fillId="0" borderId="10" xfId="0" applyFont="1" applyBorder="1"/>
    <xf numFmtId="1" fontId="19" fillId="0" borderId="0" xfId="0" applyNumberFormat="1" applyFont="1" applyBorder="1" applyAlignment="1">
      <alignment horizontal="right"/>
    </xf>
    <xf numFmtId="167" fontId="19" fillId="0" borderId="0" xfId="0" applyNumberFormat="1" applyFont="1" applyAlignment="1">
      <alignment horizontal="center"/>
    </xf>
    <xf numFmtId="167" fontId="19" fillId="0" borderId="0" xfId="0" applyNumberFormat="1" applyFont="1" applyBorder="1" applyAlignment="1">
      <alignment horizontal="center"/>
    </xf>
    <xf numFmtId="0" fontId="19" fillId="0" borderId="6" xfId="0" applyFont="1" applyBorder="1"/>
    <xf numFmtId="0" fontId="2" fillId="0" borderId="30" xfId="0" applyFont="1" applyBorder="1"/>
    <xf numFmtId="49" fontId="2" fillId="0" borderId="31" xfId="0" applyNumberFormat="1" applyFont="1" applyBorder="1"/>
    <xf numFmtId="3" fontId="19" fillId="0" borderId="0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24" fillId="0" borderId="10" xfId="0" applyFont="1" applyBorder="1"/>
    <xf numFmtId="3" fontId="24" fillId="0" borderId="11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66" fontId="15" fillId="0" borderId="12" xfId="0" applyNumberFormat="1" applyFont="1" applyBorder="1" applyAlignment="1">
      <alignment horizontal="right"/>
    </xf>
    <xf numFmtId="0" fontId="19" fillId="0" borderId="2" xfId="0" applyFont="1" applyBorder="1"/>
    <xf numFmtId="0" fontId="7" fillId="0" borderId="3" xfId="0" applyFont="1" applyBorder="1"/>
    <xf numFmtId="3" fontId="7" fillId="0" borderId="6" xfId="0" applyNumberFormat="1" applyFont="1" applyBorder="1" applyAlignment="1">
      <alignment horizontal="center"/>
    </xf>
    <xf numFmtId="0" fontId="19" fillId="0" borderId="9" xfId="0" applyFont="1" applyBorder="1"/>
    <xf numFmtId="0" fontId="7" fillId="0" borderId="32" xfId="0" applyFont="1" applyBorder="1"/>
    <xf numFmtId="0" fontId="26" fillId="0" borderId="0" xfId="0" applyFont="1"/>
    <xf numFmtId="0" fontId="2" fillId="0" borderId="31" xfId="0" applyFont="1" applyBorder="1"/>
    <xf numFmtId="166" fontId="2" fillId="0" borderId="33" xfId="0" applyNumberFormat="1" applyFont="1" applyBorder="1" applyAlignment="1">
      <alignment horizontal="right"/>
    </xf>
    <xf numFmtId="166" fontId="2" fillId="0" borderId="34" xfId="0" applyNumberFormat="1" applyFont="1" applyBorder="1" applyAlignment="1">
      <alignment horizontal="right"/>
    </xf>
    <xf numFmtId="0" fontId="19" fillId="0" borderId="20" xfId="0" applyFont="1" applyBorder="1"/>
    <xf numFmtId="166" fontId="2" fillId="0" borderId="3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center"/>
    </xf>
    <xf numFmtId="9" fontId="2" fillId="0" borderId="20" xfId="0" applyNumberFormat="1" applyFont="1" applyBorder="1"/>
    <xf numFmtId="165" fontId="2" fillId="0" borderId="25" xfId="0" applyNumberFormat="1" applyFont="1" applyBorder="1"/>
    <xf numFmtId="0" fontId="2" fillId="0" borderId="36" xfId="0" applyFont="1" applyBorder="1"/>
    <xf numFmtId="0" fontId="2" fillId="0" borderId="2" xfId="0" applyFont="1" applyBorder="1"/>
    <xf numFmtId="0" fontId="19" fillId="0" borderId="3" xfId="0" applyFont="1" applyBorder="1"/>
    <xf numFmtId="9" fontId="19" fillId="0" borderId="3" xfId="0" applyNumberFormat="1" applyFont="1" applyBorder="1"/>
    <xf numFmtId="166" fontId="2" fillId="0" borderId="26" xfId="0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27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center"/>
    </xf>
    <xf numFmtId="166" fontId="2" fillId="0" borderId="37" xfId="0" applyNumberFormat="1" applyFont="1" applyBorder="1" applyAlignment="1">
      <alignment horizontal="right"/>
    </xf>
    <xf numFmtId="0" fontId="18" fillId="0" borderId="7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2" fontId="23" fillId="0" borderId="12" xfId="0" applyNumberFormat="1" applyFont="1" applyBorder="1" applyAlignment="1">
      <alignment horizontal="right"/>
    </xf>
    <xf numFmtId="0" fontId="20" fillId="0" borderId="7" xfId="0" applyFont="1" applyBorder="1"/>
    <xf numFmtId="3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0" fontId="7" fillId="0" borderId="20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1" fontId="2" fillId="0" borderId="6" xfId="0" applyNumberFormat="1" applyFont="1" applyBorder="1" applyAlignment="1">
      <alignment horizontal="right"/>
    </xf>
    <xf numFmtId="0" fontId="2" fillId="0" borderId="42" xfId="0" applyFont="1" applyBorder="1"/>
    <xf numFmtId="0" fontId="2" fillId="0" borderId="32" xfId="3" applyFont="1" applyBorder="1"/>
    <xf numFmtId="4" fontId="2" fillId="0" borderId="0" xfId="3" applyNumberFormat="1" applyFont="1"/>
    <xf numFmtId="166" fontId="15" fillId="0" borderId="0" xfId="0" applyNumberFormat="1" applyFont="1"/>
    <xf numFmtId="0" fontId="2" fillId="0" borderId="3" xfId="0" applyFont="1" applyBorder="1"/>
    <xf numFmtId="3" fontId="2" fillId="0" borderId="0" xfId="0" applyNumberFormat="1" applyFont="1" applyBorder="1" applyAlignment="1"/>
    <xf numFmtId="3" fontId="2" fillId="0" borderId="0" xfId="0" applyNumberFormat="1" applyFont="1" applyAlignment="1"/>
    <xf numFmtId="1" fontId="2" fillId="0" borderId="0" xfId="0" applyNumberFormat="1" applyFont="1"/>
    <xf numFmtId="3" fontId="28" fillId="0" borderId="0" xfId="0" applyNumberFormat="1" applyFont="1"/>
    <xf numFmtId="0" fontId="2" fillId="0" borderId="0" xfId="0" applyFont="1" applyAlignment="1"/>
    <xf numFmtId="3" fontId="1" fillId="0" borderId="0" xfId="0" applyNumberFormat="1" applyFont="1" applyAlignment="1">
      <alignment horizontal="center"/>
    </xf>
    <xf numFmtId="166" fontId="1" fillId="0" borderId="0" xfId="0" applyNumberFormat="1" applyFont="1"/>
    <xf numFmtId="1" fontId="1" fillId="0" borderId="0" xfId="0" applyNumberFormat="1" applyFont="1"/>
    <xf numFmtId="0" fontId="29" fillId="0" borderId="0" xfId="0" applyFont="1"/>
    <xf numFmtId="2" fontId="1" fillId="0" borderId="0" xfId="0" applyNumberFormat="1" applyFont="1"/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 applyAlignment="1"/>
    <xf numFmtId="0" fontId="20" fillId="0" borderId="0" xfId="0" applyFont="1" applyAlignment="1"/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horizontal="center"/>
    </xf>
    <xf numFmtId="2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2" fontId="2" fillId="0" borderId="11" xfId="1" applyNumberFormat="1" applyFont="1" applyBorder="1" applyAlignment="1" applyProtection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0" fillId="0" borderId="6" xfId="0" applyFont="1" applyBorder="1"/>
    <xf numFmtId="4" fontId="20" fillId="0" borderId="6" xfId="0" applyNumberFormat="1" applyFont="1" applyBorder="1" applyAlignment="1">
      <alignment horizontal="center"/>
    </xf>
    <xf numFmtId="4" fontId="31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49" fontId="2" fillId="0" borderId="6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left" wrapText="1"/>
    </xf>
    <xf numFmtId="2" fontId="2" fillId="0" borderId="6" xfId="0" applyNumberFormat="1" applyFont="1" applyBorder="1" applyAlignment="1">
      <alignment horizontal="center"/>
    </xf>
    <xf numFmtId="170" fontId="2" fillId="0" borderId="0" xfId="0" applyNumberFormat="1" applyFont="1"/>
    <xf numFmtId="0" fontId="12" fillId="0" borderId="0" xfId="0" applyFont="1" applyAlignment="1">
      <alignment horizontal="left"/>
    </xf>
    <xf numFmtId="3" fontId="32" fillId="0" borderId="0" xfId="0" applyNumberFormat="1" applyFont="1"/>
    <xf numFmtId="0" fontId="33" fillId="0" borderId="0" xfId="0" applyFont="1"/>
    <xf numFmtId="3" fontId="33" fillId="0" borderId="0" xfId="0" applyNumberFormat="1" applyFont="1"/>
    <xf numFmtId="171" fontId="2" fillId="0" borderId="0" xfId="0" applyNumberFormat="1" applyFont="1" applyAlignment="1">
      <alignment horizontal="right"/>
    </xf>
    <xf numFmtId="164" fontId="2" fillId="0" borderId="0" xfId="1" applyFont="1" applyBorder="1" applyAlignment="1" applyProtection="1">
      <alignment horizontal="right"/>
    </xf>
    <xf numFmtId="164" fontId="14" fillId="0" borderId="0" xfId="1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170" fontId="20" fillId="0" borderId="6" xfId="0" applyNumberFormat="1" applyFont="1" applyBorder="1" applyAlignment="1">
      <alignment horizontal="center"/>
    </xf>
    <xf numFmtId="0" fontId="10" fillId="0" borderId="0" xfId="0" applyFont="1" applyAlignment="1"/>
    <xf numFmtId="0" fontId="20" fillId="0" borderId="0" xfId="0" applyFont="1"/>
    <xf numFmtId="0" fontId="8" fillId="0" borderId="0" xfId="0" applyFont="1" applyAlignment="1"/>
    <xf numFmtId="3" fontId="10" fillId="0" borderId="0" xfId="0" applyNumberFormat="1" applyFont="1"/>
    <xf numFmtId="0" fontId="2" fillId="0" borderId="0" xfId="0" applyFont="1" applyBorder="1" applyAlignment="1"/>
    <xf numFmtId="3" fontId="20" fillId="0" borderId="0" xfId="0" applyNumberFormat="1" applyFont="1" applyAlignment="1">
      <alignment horizontal="center"/>
    </xf>
    <xf numFmtId="3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3" fontId="8" fillId="0" borderId="0" xfId="0" applyNumberFormat="1" applyFont="1"/>
    <xf numFmtId="0" fontId="4" fillId="0" borderId="0" xfId="0" applyFont="1" applyAlignment="1">
      <alignment horizontal="left"/>
    </xf>
    <xf numFmtId="3" fontId="20" fillId="0" borderId="0" xfId="0" applyNumberFormat="1" applyFont="1" applyAlignment="1">
      <alignment horizontal="center" wrapText="1"/>
    </xf>
    <xf numFmtId="3" fontId="20" fillId="0" borderId="0" xfId="0" applyNumberFormat="1" applyFont="1" applyBorder="1" applyAlignment="1">
      <alignment horizontal="center" wrapText="1"/>
    </xf>
    <xf numFmtId="0" fontId="2" fillId="2" borderId="0" xfId="0" applyFont="1" applyFill="1"/>
    <xf numFmtId="3" fontId="2" fillId="2" borderId="6" xfId="0" applyNumberFormat="1" applyFont="1" applyFill="1" applyBorder="1" applyAlignment="1">
      <alignment horizontal="right"/>
    </xf>
    <xf numFmtId="2" fontId="2" fillId="0" borderId="6" xfId="1" applyNumberFormat="1" applyFont="1" applyBorder="1" applyAlignment="1" applyProtection="1">
      <alignment horizontal="center" vertical="center"/>
    </xf>
    <xf numFmtId="2" fontId="2" fillId="0" borderId="6" xfId="1" applyNumberFormat="1" applyFont="1" applyBorder="1" applyAlignment="1" applyProtection="1">
      <alignment horizontal="center"/>
    </xf>
    <xf numFmtId="164" fontId="2" fillId="0" borderId="6" xfId="1" applyFont="1" applyBorder="1" applyAlignment="1" applyProtection="1"/>
    <xf numFmtId="172" fontId="2" fillId="0" borderId="0" xfId="0" applyNumberFormat="1" applyFont="1"/>
    <xf numFmtId="10" fontId="2" fillId="0" borderId="6" xfId="2" applyNumberFormat="1" applyFont="1" applyBorder="1" applyAlignment="1" applyProtection="1">
      <alignment horizontal="center" vertical="center"/>
    </xf>
    <xf numFmtId="10" fontId="2" fillId="0" borderId="6" xfId="2" applyNumberFormat="1" applyFont="1" applyBorder="1" applyAlignment="1" applyProtection="1">
      <alignment horizontal="center"/>
    </xf>
    <xf numFmtId="3" fontId="20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8"/>
  <sheetViews>
    <sheetView view="pageBreakPreview" zoomScale="80" zoomScaleNormal="80" zoomScalePageLayoutView="80" workbookViewId="0">
      <selection activeCell="B18" sqref="B18"/>
    </sheetView>
  </sheetViews>
  <sheetFormatPr defaultColWidth="9.140625" defaultRowHeight="15.75"/>
  <cols>
    <col min="1" max="1" width="0.7109375" style="15" customWidth="1"/>
    <col min="2" max="2" width="19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22.5703125" style="18" customWidth="1"/>
    <col min="15" max="15" width="11.5703125" style="19" customWidth="1"/>
    <col min="16" max="16" width="16.7109375" style="15" customWidth="1"/>
    <col min="17" max="17" width="10.85546875" style="15" customWidth="1"/>
    <col min="18" max="18" width="11.5703125" style="15" customWidth="1"/>
    <col min="19" max="19" width="12" style="15" customWidth="1"/>
    <col min="20" max="20" width="17.42578125" style="15" customWidth="1"/>
    <col min="21" max="257" width="9.140625" style="15"/>
  </cols>
  <sheetData>
    <row r="1" spans="2:20" s="19" customFormat="1" ht="12.75" customHeight="1">
      <c r="G1" s="20"/>
      <c r="H1" s="20"/>
      <c r="I1" s="20"/>
      <c r="J1" s="20"/>
      <c r="K1" s="20"/>
      <c r="M1" s="17"/>
      <c r="N1" s="18"/>
    </row>
    <row r="2" spans="2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2:20" s="21" customFormat="1" ht="19.5" customHeight="1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2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G24</f>
        <v>50400</v>
      </c>
      <c r="Q4" s="29">
        <f>H24+I24+J24+K24</f>
        <v>50400</v>
      </c>
      <c r="R4" s="29">
        <f>G25+G30+G62</f>
        <v>50400</v>
      </c>
      <c r="S4" s="30">
        <f>калькуляция!D45</f>
        <v>50400</v>
      </c>
      <c r="T4" s="31">
        <f>'резерв отпускных'!D10+'резерв отпускных'!D11+'резерв отпускных'!D14+'резерв отпускных'!D15</f>
        <v>30240</v>
      </c>
    </row>
    <row r="5" spans="2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2:20" s="19" customFormat="1" ht="12.75" customHeight="1">
      <c r="C6" s="24"/>
      <c r="G6" s="20"/>
      <c r="H6" s="20"/>
      <c r="I6" s="20"/>
      <c r="J6" s="20"/>
      <c r="K6" s="20"/>
      <c r="M6" s="17"/>
      <c r="N6" s="18"/>
    </row>
    <row r="7" spans="2:20" s="19" customFormat="1" ht="12.75" customHeight="1">
      <c r="C7" s="24"/>
      <c r="G7" s="20"/>
      <c r="H7" s="20"/>
      <c r="I7" s="20"/>
      <c r="J7" s="20"/>
      <c r="K7" s="20"/>
      <c r="M7" s="17"/>
      <c r="N7" s="18"/>
    </row>
    <row r="8" spans="2:20" s="32" customFormat="1" ht="18" customHeight="1">
      <c r="B8" s="33" t="s">
        <v>7</v>
      </c>
      <c r="C8" s="34"/>
      <c r="D8" s="34" t="s">
        <v>8</v>
      </c>
      <c r="E8" s="34"/>
      <c r="F8" s="34"/>
      <c r="G8" s="34"/>
      <c r="H8" s="34"/>
      <c r="I8" s="34"/>
      <c r="J8" s="34"/>
      <c r="K8" s="34"/>
      <c r="M8" s="35"/>
      <c r="N8" s="36"/>
      <c r="P8" s="37">
        <f>E20-P4</f>
        <v>0</v>
      </c>
      <c r="Q8" s="37">
        <f>E20-Q4</f>
        <v>0</v>
      </c>
      <c r="R8" s="37">
        <f>E20-R4</f>
        <v>0</v>
      </c>
      <c r="S8" s="37">
        <f>E20-S4</f>
        <v>0</v>
      </c>
      <c r="T8" s="37">
        <f>G25-T4</f>
        <v>0</v>
      </c>
    </row>
    <row r="9" spans="2:20" s="19" customFormat="1" ht="18" customHeight="1">
      <c r="B9" s="38" t="s">
        <v>9</v>
      </c>
      <c r="C9" s="39"/>
      <c r="D9" s="38" t="s">
        <v>10</v>
      </c>
      <c r="E9" s="40"/>
      <c r="G9" s="41"/>
      <c r="H9" s="20"/>
      <c r="I9" s="20"/>
      <c r="J9" s="20"/>
      <c r="K9" s="20"/>
      <c r="M9" s="17"/>
      <c r="N9" s="18"/>
    </row>
    <row r="10" spans="2:20" s="19" customFormat="1" ht="27" customHeight="1">
      <c r="B10" s="19" t="s">
        <v>11</v>
      </c>
      <c r="E10" s="42">
        <v>4</v>
      </c>
      <c r="F10" s="15"/>
      <c r="G10" s="20"/>
      <c r="H10" s="20"/>
      <c r="I10" s="20"/>
      <c r="J10" s="20"/>
      <c r="K10" s="20"/>
      <c r="M10" s="17"/>
      <c r="N10" s="18"/>
    </row>
    <row r="11" spans="2:20" s="19" customFormat="1" ht="18" customHeight="1">
      <c r="B11" s="19" t="s">
        <v>12</v>
      </c>
      <c r="E11" s="42">
        <v>2</v>
      </c>
      <c r="F11" s="43"/>
      <c r="G11" s="20"/>
      <c r="H11" s="20"/>
      <c r="I11" s="20"/>
      <c r="J11" s="20"/>
      <c r="K11" s="20"/>
      <c r="M11" s="17"/>
      <c r="N11" s="44"/>
      <c r="O11" s="45"/>
    </row>
    <row r="12" spans="2:20" s="19" customFormat="1" ht="18" customHeight="1">
      <c r="B12" s="19" t="s">
        <v>13</v>
      </c>
      <c r="E12" s="42">
        <f>E11*4</f>
        <v>8</v>
      </c>
      <c r="F12" s="43"/>
      <c r="G12" s="20"/>
      <c r="H12" s="20"/>
      <c r="I12" s="20"/>
      <c r="J12" s="20"/>
      <c r="K12" s="20"/>
      <c r="M12" s="17"/>
      <c r="N12" s="44"/>
      <c r="O12" s="45"/>
    </row>
    <row r="13" spans="2:20" s="19" customFormat="1" ht="18" customHeight="1">
      <c r="B13" s="19" t="s">
        <v>14</v>
      </c>
      <c r="E13" s="42">
        <v>1</v>
      </c>
      <c r="F13" s="43"/>
      <c r="G13" s="46"/>
      <c r="H13" s="20"/>
      <c r="I13" s="20"/>
      <c r="J13" s="20"/>
      <c r="K13" s="20"/>
      <c r="M13" s="17"/>
      <c r="N13" s="18"/>
    </row>
    <row r="14" spans="2:20" s="19" customFormat="1" ht="18" customHeight="1">
      <c r="B14" s="19" t="s">
        <v>15</v>
      </c>
      <c r="E14" s="47">
        <f>G16</f>
        <v>36</v>
      </c>
      <c r="F14" s="43"/>
      <c r="G14" s="20"/>
      <c r="H14" s="20"/>
      <c r="I14" s="20"/>
      <c r="J14" s="20"/>
      <c r="K14" s="20"/>
      <c r="M14" s="17"/>
      <c r="N14" s="18"/>
    </row>
    <row r="15" spans="2:20" s="19" customFormat="1" ht="18" customHeight="1">
      <c r="B15" s="19" t="s">
        <v>16</v>
      </c>
      <c r="E15" s="48">
        <f>E10*E11*E14</f>
        <v>288</v>
      </c>
      <c r="F15" s="43"/>
      <c r="G15" s="20"/>
      <c r="H15" s="20"/>
      <c r="I15" s="20"/>
      <c r="J15" s="20"/>
      <c r="K15" s="20"/>
      <c r="M15" s="17"/>
      <c r="N15" s="18"/>
    </row>
    <row r="16" spans="2:20" s="19" customFormat="1" ht="18" customHeight="1">
      <c r="B16" s="19" t="s">
        <v>17</v>
      </c>
      <c r="E16" s="42">
        <f>E14*E11*E13</f>
        <v>72</v>
      </c>
      <c r="G16" s="49">
        <f>H16+I16+J16+K16</f>
        <v>36</v>
      </c>
      <c r="H16" s="49">
        <v>4</v>
      </c>
      <c r="I16" s="49">
        <v>12</v>
      </c>
      <c r="J16" s="49">
        <v>12</v>
      </c>
      <c r="K16" s="49">
        <v>8</v>
      </c>
      <c r="M16" s="17"/>
      <c r="N16" s="18"/>
    </row>
    <row r="17" spans="1:24" s="19" customFormat="1" ht="18" customHeight="1">
      <c r="B17" s="19" t="s">
        <v>18</v>
      </c>
      <c r="D17" s="19" t="s">
        <v>19</v>
      </c>
      <c r="E17" s="42">
        <f>E18*E12</f>
        <v>1400</v>
      </c>
      <c r="G17" s="50"/>
      <c r="H17" s="50"/>
      <c r="I17" s="50"/>
      <c r="J17" s="50"/>
      <c r="K17" s="50"/>
      <c r="M17" s="17"/>
      <c r="N17" s="18"/>
    </row>
    <row r="18" spans="1:24" s="19" customFormat="1" ht="18" customHeight="1">
      <c r="B18" s="19" t="s">
        <v>20</v>
      </c>
      <c r="E18" s="42">
        <v>175</v>
      </c>
      <c r="F18" s="43"/>
      <c r="G18" s="51"/>
      <c r="H18" s="51"/>
      <c r="I18" s="51"/>
      <c r="J18" s="51"/>
      <c r="K18" s="51"/>
      <c r="M18" s="17"/>
      <c r="N18" s="18"/>
    </row>
    <row r="19" spans="1:24" s="19" customFormat="1" ht="21" customHeight="1">
      <c r="B19" s="19" t="s">
        <v>21</v>
      </c>
      <c r="E19" s="42">
        <f>E11*E14*E18</f>
        <v>12600</v>
      </c>
      <c r="F19" s="19" t="s">
        <v>19</v>
      </c>
      <c r="G19" s="51"/>
      <c r="H19" s="51"/>
      <c r="I19" s="51"/>
      <c r="J19" s="51"/>
      <c r="K19" s="51"/>
      <c r="M19" s="17"/>
      <c r="N19" s="18"/>
    </row>
    <row r="20" spans="1:24" s="19" customFormat="1" ht="18" customHeight="1">
      <c r="A20" s="52"/>
      <c r="B20" s="52" t="s">
        <v>22</v>
      </c>
      <c r="C20" s="53"/>
      <c r="D20" s="53"/>
      <c r="E20" s="54">
        <f>E19*E10</f>
        <v>50400</v>
      </c>
      <c r="F20" s="53"/>
      <c r="G20" s="51"/>
      <c r="H20" s="51"/>
      <c r="I20" s="51"/>
      <c r="J20" s="51"/>
      <c r="K20" s="51"/>
      <c r="L20" s="19" t="s">
        <v>23</v>
      </c>
      <c r="M20" s="17"/>
      <c r="N20" s="18"/>
    </row>
    <row r="21" spans="1:24" s="19" customFormat="1" ht="18" customHeight="1">
      <c r="A21" s="52"/>
      <c r="B21" s="52"/>
      <c r="C21" s="53"/>
      <c r="D21" s="53"/>
      <c r="E21" s="55"/>
      <c r="F21" s="53"/>
      <c r="G21" s="51"/>
      <c r="H21" s="51"/>
      <c r="I21" s="51"/>
      <c r="J21" s="51"/>
      <c r="K21" s="51"/>
      <c r="M21" s="17"/>
      <c r="N21" s="18"/>
    </row>
    <row r="22" spans="1:24" s="19" customFormat="1" ht="18" customHeight="1">
      <c r="A22" s="52"/>
      <c r="B22" s="56" t="s">
        <v>24</v>
      </c>
      <c r="C22" s="57"/>
      <c r="D22" s="57"/>
      <c r="E22" s="57"/>
      <c r="F22" s="57"/>
      <c r="G22" s="58"/>
      <c r="H22" s="12">
        <v>2024</v>
      </c>
      <c r="I22" s="12"/>
      <c r="J22" s="11">
        <v>2025</v>
      </c>
      <c r="K22" s="11"/>
      <c r="L22" s="61" t="s">
        <v>25</v>
      </c>
      <c r="M22" s="17"/>
      <c r="N22" s="10" t="s">
        <v>26</v>
      </c>
      <c r="P22" s="62"/>
      <c r="Q22" s="63"/>
      <c r="R22" s="64"/>
      <c r="S22" s="64"/>
      <c r="T22" s="63"/>
      <c r="U22" s="63"/>
      <c r="V22" s="63"/>
      <c r="W22" s="63"/>
    </row>
    <row r="23" spans="1:24" s="19" customFormat="1" ht="18" customHeight="1">
      <c r="A23" s="52"/>
      <c r="B23" s="65"/>
      <c r="C23" s="66" t="s">
        <v>27</v>
      </c>
      <c r="D23" s="52"/>
      <c r="E23" s="52"/>
      <c r="F23" s="52"/>
      <c r="G23" s="67"/>
      <c r="H23" s="49" t="s">
        <v>28</v>
      </c>
      <c r="I23" s="49" t="s">
        <v>29</v>
      </c>
      <c r="J23" s="49" t="s">
        <v>30</v>
      </c>
      <c r="K23" s="49" t="s">
        <v>31</v>
      </c>
      <c r="L23" s="68" t="s">
        <v>32</v>
      </c>
      <c r="M23" s="17"/>
      <c r="N23" s="10"/>
    </row>
    <row r="24" spans="1:24" s="63" customFormat="1" ht="30" customHeight="1">
      <c r="B24" s="69"/>
      <c r="C24" s="70"/>
      <c r="D24" s="70"/>
      <c r="E24" s="70"/>
      <c r="F24" s="70"/>
      <c r="G24" s="71">
        <f>E20</f>
        <v>50400</v>
      </c>
      <c r="H24" s="72">
        <f>E20/G16*H16</f>
        <v>5600</v>
      </c>
      <c r="I24" s="72">
        <f>E20/G16*I16</f>
        <v>16800</v>
      </c>
      <c r="J24" s="72">
        <f>E20/G16*J16</f>
        <v>16800</v>
      </c>
      <c r="K24" s="72">
        <f>E20/G16*K16</f>
        <v>11200</v>
      </c>
      <c r="L24" s="73">
        <f>E18</f>
        <v>175</v>
      </c>
      <c r="M24" s="74" t="e">
        <f>G24/N11</f>
        <v>#DIV/0!</v>
      </c>
      <c r="N24" s="75">
        <f>G24/G24</f>
        <v>1</v>
      </c>
      <c r="O24" s="76">
        <f>G24+' (смета) (2)'!G21+' (смета) (3)'!G22+' (смета) (4)'!G20+' (смета) (5)'!G20</f>
        <v>1324800</v>
      </c>
      <c r="P24" s="77">
        <f>O24*10%</f>
        <v>132480</v>
      </c>
      <c r="Q24" s="19"/>
      <c r="R24" s="19"/>
      <c r="S24" s="19"/>
      <c r="T24" s="19"/>
      <c r="U24" s="19"/>
      <c r="V24" s="19"/>
      <c r="W24" s="19"/>
    </row>
    <row r="25" spans="1:24" s="19" customFormat="1" ht="24.95" customHeight="1">
      <c r="B25" s="78" t="s">
        <v>33</v>
      </c>
      <c r="C25" s="79"/>
      <c r="D25" s="79"/>
      <c r="E25" s="79"/>
      <c r="F25" s="79"/>
      <c r="G25" s="80">
        <f>+H25+I25+J25+K25</f>
        <v>30240</v>
      </c>
      <c r="H25" s="80">
        <f>H24*0.6</f>
        <v>3360</v>
      </c>
      <c r="I25" s="80">
        <f>I24*0.6</f>
        <v>10080</v>
      </c>
      <c r="J25" s="80">
        <f>J24*0.6</f>
        <v>10080</v>
      </c>
      <c r="K25" s="80">
        <f>K24*0.6</f>
        <v>6720</v>
      </c>
      <c r="L25" s="81"/>
      <c r="M25" s="74">
        <f>G25/8208</f>
        <v>3.6842105263157894</v>
      </c>
      <c r="N25" s="82">
        <f>G25/G24</f>
        <v>0.6</v>
      </c>
      <c r="O25" s="83"/>
      <c r="X25" s="84"/>
    </row>
    <row r="26" spans="1:24" s="19" customFormat="1" ht="17.25" customHeight="1">
      <c r="B26" s="85"/>
      <c r="C26" s="86"/>
      <c r="D26" s="86"/>
      <c r="E26" s="86"/>
      <c r="F26" s="87"/>
      <c r="G26" s="49"/>
      <c r="H26" s="58">
        <v>0</v>
      </c>
      <c r="I26" s="58"/>
      <c r="J26" s="58"/>
      <c r="K26" s="58"/>
      <c r="L26" s="88" t="e">
        <f>M26</f>
        <v>#DIV/0!</v>
      </c>
      <c r="M26" s="74" t="e">
        <f>G26/N11</f>
        <v>#DIV/0!</v>
      </c>
      <c r="N26" s="82"/>
      <c r="P26" s="89" t="s">
        <v>34</v>
      </c>
      <c r="Q26" s="90"/>
      <c r="R26" s="90"/>
      <c r="S26" s="90"/>
      <c r="T26" s="91"/>
      <c r="U26" s="52"/>
      <c r="V26" s="52"/>
    </row>
    <row r="27" spans="1:24" s="19" customFormat="1" ht="17.25" customHeight="1">
      <c r="A27" s="19" t="s">
        <v>35</v>
      </c>
      <c r="B27" s="92" t="s">
        <v>36</v>
      </c>
      <c r="C27" s="93"/>
      <c r="D27" s="93"/>
      <c r="E27" s="93"/>
      <c r="F27" s="93"/>
      <c r="G27" s="49">
        <f t="shared" ref="G27:G37" si="0">SUM(H27:K27)</f>
        <v>23225.806451612902</v>
      </c>
      <c r="H27" s="49">
        <f>H25/1.302</f>
        <v>2580.6451612903224</v>
      </c>
      <c r="I27" s="49">
        <f>I25/1.302</f>
        <v>7741.9354838709678</v>
      </c>
      <c r="J27" s="49">
        <f>J25/1.302</f>
        <v>7741.9354838709678</v>
      </c>
      <c r="K27" s="49">
        <f>K25/1.302</f>
        <v>5161.2903225806449</v>
      </c>
      <c r="L27" s="94" t="e">
        <f>M27</f>
        <v>#DIV/0!</v>
      </c>
      <c r="M27" s="74" t="e">
        <f>G27/N11</f>
        <v>#DIV/0!</v>
      </c>
      <c r="N27" s="82"/>
      <c r="P27" s="95" t="s">
        <v>37</v>
      </c>
      <c r="Q27" s="96">
        <f>E18*0.546/1.302/1.1357/1.3</f>
        <v>49.706447920424239</v>
      </c>
      <c r="R27" s="97" t="s">
        <v>38</v>
      </c>
      <c r="S27" s="97"/>
      <c r="T27" s="98" t="s">
        <v>39</v>
      </c>
      <c r="U27" s="97"/>
      <c r="V27" s="97"/>
      <c r="X27" s="84"/>
    </row>
    <row r="28" spans="1:24" s="19" customFormat="1" ht="17.25" hidden="1" customHeight="1">
      <c r="A28" s="32" t="s">
        <v>40</v>
      </c>
      <c r="B28" s="99" t="s">
        <v>41</v>
      </c>
      <c r="C28" s="99"/>
      <c r="D28" s="93"/>
      <c r="E28" s="93"/>
      <c r="F28" s="93"/>
      <c r="G28" s="49">
        <f t="shared" si="0"/>
        <v>0</v>
      </c>
      <c r="H28" s="49"/>
      <c r="I28" s="49"/>
      <c r="J28" s="49"/>
      <c r="K28" s="49"/>
      <c r="L28" s="100"/>
      <c r="M28" s="74">
        <f>G28/5760</f>
        <v>0</v>
      </c>
      <c r="N28" s="82"/>
      <c r="P28" s="101"/>
      <c r="Q28" s="52"/>
      <c r="R28" s="52"/>
      <c r="S28" s="52"/>
      <c r="T28" s="102"/>
      <c r="U28" s="52"/>
      <c r="V28" s="52"/>
    </row>
    <row r="29" spans="1:24" s="19" customFormat="1" ht="17.25" customHeight="1">
      <c r="A29" s="32" t="s">
        <v>40</v>
      </c>
      <c r="B29" s="103" t="s">
        <v>42</v>
      </c>
      <c r="C29" s="104"/>
      <c r="D29" s="105"/>
      <c r="E29" s="105"/>
      <c r="F29" s="105"/>
      <c r="G29" s="49">
        <f t="shared" si="0"/>
        <v>7014.1935483870975</v>
      </c>
      <c r="H29" s="49">
        <f>H25-H27</f>
        <v>779.35483870967755</v>
      </c>
      <c r="I29" s="49">
        <f>I25-I27</f>
        <v>2338.0645161290322</v>
      </c>
      <c r="J29" s="49">
        <f>J25-J27</f>
        <v>2338.0645161290322</v>
      </c>
      <c r="K29" s="49">
        <f>K25-K27</f>
        <v>1558.7096774193551</v>
      </c>
      <c r="L29" s="106" t="e">
        <f>M29</f>
        <v>#DIV/0!</v>
      </c>
      <c r="M29" s="74" t="e">
        <f t="shared" ref="M29:M37" si="1">G29/$N$11</f>
        <v>#DIV/0!</v>
      </c>
      <c r="N29" s="82"/>
      <c r="P29" s="107" t="s">
        <v>43</v>
      </c>
      <c r="Q29" s="108">
        <f>E18*0.054/1.302/1.1357/1.3</f>
        <v>4.9160223218001988</v>
      </c>
      <c r="R29" s="109" t="s">
        <v>38</v>
      </c>
      <c r="S29" s="109"/>
      <c r="T29" s="110" t="s">
        <v>44</v>
      </c>
      <c r="U29" s="52"/>
      <c r="V29" s="52"/>
    </row>
    <row r="30" spans="1:24" s="19" customFormat="1" ht="24.95" customHeight="1">
      <c r="B30" s="111" t="s">
        <v>45</v>
      </c>
      <c r="C30" s="112"/>
      <c r="D30" s="112"/>
      <c r="E30" s="112"/>
      <c r="F30" s="112"/>
      <c r="G30" s="113">
        <f t="shared" si="0"/>
        <v>8215.2000000000007</v>
      </c>
      <c r="H30" s="80">
        <f>H31+H32+H33+H46+H47+H52</f>
        <v>912.8</v>
      </c>
      <c r="I30" s="80">
        <f>I31+I32+I33+I46+I47+I52</f>
        <v>2738.4</v>
      </c>
      <c r="J30" s="80">
        <f>J31+J32+J33+J46+J47+J52</f>
        <v>2738.4</v>
      </c>
      <c r="K30" s="80">
        <f>K31+K32+K33+K46+K47+K52</f>
        <v>1825.6</v>
      </c>
      <c r="L30" s="114" t="e">
        <f>L31+L32+L33+L46+L47+L52</f>
        <v>#DIV/0!</v>
      </c>
      <c r="M30" s="74" t="e">
        <f t="shared" si="1"/>
        <v>#DIV/0!</v>
      </c>
      <c r="N30" s="82"/>
      <c r="P30" s="17"/>
    </row>
    <row r="31" spans="1:24" s="115" customFormat="1" ht="17.25" hidden="1" customHeight="1">
      <c r="B31" s="116" t="s">
        <v>46</v>
      </c>
      <c r="C31" s="117"/>
      <c r="D31" s="117"/>
      <c r="E31" s="117"/>
      <c r="F31" s="117"/>
      <c r="G31" s="49">
        <f t="shared" si="0"/>
        <v>0</v>
      </c>
      <c r="H31" s="49"/>
      <c r="I31" s="49"/>
      <c r="J31" s="49"/>
      <c r="K31" s="118"/>
      <c r="L31" s="119">
        <f>(H31/3*$L$24)/($H$24/3)</f>
        <v>0</v>
      </c>
      <c r="M31" s="74" t="e">
        <f t="shared" si="1"/>
        <v>#DIV/0!</v>
      </c>
      <c r="N31" s="82"/>
      <c r="O31" s="32"/>
    </row>
    <row r="32" spans="1:24" s="115" customFormat="1" ht="17.25" hidden="1" customHeight="1">
      <c r="B32" s="116" t="s">
        <v>47</v>
      </c>
      <c r="C32" s="117"/>
      <c r="D32" s="117"/>
      <c r="E32" s="117"/>
      <c r="F32" s="117"/>
      <c r="G32" s="49">
        <f t="shared" si="0"/>
        <v>0</v>
      </c>
      <c r="H32" s="49"/>
      <c r="I32" s="49"/>
      <c r="J32" s="49"/>
      <c r="K32" s="49"/>
      <c r="L32" s="119"/>
      <c r="M32" s="74" t="e">
        <f t="shared" si="1"/>
        <v>#DIV/0!</v>
      </c>
      <c r="N32" s="82"/>
      <c r="O32" s="32"/>
    </row>
    <row r="33" spans="2:16" s="115" customFormat="1" ht="17.25" customHeight="1">
      <c r="B33" s="120" t="s">
        <v>48</v>
      </c>
      <c r="C33" s="121"/>
      <c r="D33" s="121"/>
      <c r="E33" s="121"/>
      <c r="F33" s="121"/>
      <c r="G33" s="59">
        <f t="shared" si="0"/>
        <v>5040</v>
      </c>
      <c r="H33" s="49">
        <f>H34+H37+H41</f>
        <v>560</v>
      </c>
      <c r="I33" s="49">
        <f>I34+I37+I41</f>
        <v>1680</v>
      </c>
      <c r="J33" s="49">
        <f>SUM(J34:J41)</f>
        <v>1680</v>
      </c>
      <c r="K33" s="49">
        <f>SUM(K34:K41)</f>
        <v>1120</v>
      </c>
      <c r="L33" s="106" t="e">
        <f>L34+L37+L41</f>
        <v>#DIV/0!</v>
      </c>
      <c r="M33" s="74" t="e">
        <f t="shared" si="1"/>
        <v>#DIV/0!</v>
      </c>
      <c r="N33" s="82">
        <f>G33/G24</f>
        <v>0.1</v>
      </c>
      <c r="O33" s="76">
        <f>G33+' (смета) (2)'!G30+' (смета) (3)'!G31+' (смета) (4)'!G29+' (смета) (5)'!G29+' (смета) (6)'!G29</f>
        <v>150080</v>
      </c>
    </row>
    <row r="34" spans="2:16" s="122" customFormat="1" ht="17.25" customHeight="1">
      <c r="B34" s="99" t="s">
        <v>49</v>
      </c>
      <c r="C34" s="93"/>
      <c r="D34" s="93"/>
      <c r="E34" s="123">
        <v>6.5000000000000002E-2</v>
      </c>
      <c r="F34" s="124"/>
      <c r="G34" s="125">
        <f t="shared" si="0"/>
        <v>3276</v>
      </c>
      <c r="H34" s="126">
        <f>+H24*6.5%</f>
        <v>364</v>
      </c>
      <c r="I34" s="126">
        <f>+I24*6.5%</f>
        <v>1092</v>
      </c>
      <c r="J34" s="126">
        <f>+J24*6.5%</f>
        <v>1092</v>
      </c>
      <c r="K34" s="126">
        <f>+K24*6.5%</f>
        <v>728</v>
      </c>
      <c r="L34" s="94" t="e">
        <f>M34</f>
        <v>#DIV/0!</v>
      </c>
      <c r="M34" s="74" t="e">
        <f t="shared" si="1"/>
        <v>#DIV/0!</v>
      </c>
      <c r="N34" s="127">
        <f>G34+' (смета) (2)'!G31+' (смета) (3)'!G32+' (смета) (4)'!G30+' (смета) (5)'!G30+' (смета) (6)'!G30</f>
        <v>97552</v>
      </c>
      <c r="O34" s="19"/>
    </row>
    <row r="35" spans="2:16" s="128" customFormat="1" ht="17.25" hidden="1" customHeight="1">
      <c r="B35" s="129" t="s">
        <v>50</v>
      </c>
      <c r="C35" s="130"/>
      <c r="D35" s="130" t="s">
        <v>51</v>
      </c>
      <c r="E35" s="131"/>
      <c r="F35" s="130" t="s">
        <v>52</v>
      </c>
      <c r="G35" s="132">
        <f t="shared" si="0"/>
        <v>0</v>
      </c>
      <c r="H35" s="133"/>
      <c r="I35" s="133"/>
      <c r="J35" s="133"/>
      <c r="K35" s="133"/>
      <c r="L35" s="94">
        <f>(H35/3*$L$24)/($H$24/3)</f>
        <v>0</v>
      </c>
      <c r="M35" s="74" t="e">
        <f t="shared" si="1"/>
        <v>#DIV/0!</v>
      </c>
      <c r="N35" s="127">
        <f>G35+' (смета) (2)'!G32+' (смета) (3)'!G33+' (смета) (4)'!G31+' (смета) (5)'!G31+' (смета) (6)'!G31</f>
        <v>0</v>
      </c>
      <c r="O35" s="134"/>
    </row>
    <row r="36" spans="2:16" s="128" customFormat="1" ht="17.25" hidden="1" customHeight="1">
      <c r="B36" s="135" t="s">
        <v>53</v>
      </c>
      <c r="C36" s="136">
        <f>C35</f>
        <v>0</v>
      </c>
      <c r="D36" s="136" t="s">
        <v>54</v>
      </c>
      <c r="E36" s="137"/>
      <c r="F36" s="136"/>
      <c r="G36" s="138">
        <f t="shared" si="0"/>
        <v>0</v>
      </c>
      <c r="H36" s="133"/>
      <c r="I36" s="133"/>
      <c r="J36" s="133"/>
      <c r="K36" s="133"/>
      <c r="L36" s="94">
        <f>(H36/3*$L$24)/($H$24/3)</f>
        <v>0</v>
      </c>
      <c r="M36" s="74" t="e">
        <f t="shared" si="1"/>
        <v>#DIV/0!</v>
      </c>
      <c r="N36" s="127">
        <f>G36+' (смета) (2)'!G33+' (смета) (3)'!G34+' (смета) (4)'!G32+' (смета) (5)'!G32+' (смета) (6)'!G32</f>
        <v>0</v>
      </c>
      <c r="O36" s="134"/>
    </row>
    <row r="37" spans="2:16" s="122" customFormat="1" ht="17.25" customHeight="1">
      <c r="B37" s="99" t="s">
        <v>55</v>
      </c>
      <c r="C37" s="93"/>
      <c r="D37" s="93"/>
      <c r="E37" s="123">
        <v>2.1000000000000001E-2</v>
      </c>
      <c r="F37" s="124"/>
      <c r="G37" s="125">
        <f t="shared" si="0"/>
        <v>1058.4000000000001</v>
      </c>
      <c r="H37" s="126">
        <f>+H24*2.1%</f>
        <v>117.60000000000001</v>
      </c>
      <c r="I37" s="126">
        <f>+I24*2.1%</f>
        <v>352.8</v>
      </c>
      <c r="J37" s="126">
        <f>+J24*2.1%</f>
        <v>352.8</v>
      </c>
      <c r="K37" s="126">
        <f>+K24*2.1%</f>
        <v>235.20000000000002</v>
      </c>
      <c r="L37" s="94" t="e">
        <f>M37</f>
        <v>#DIV/0!</v>
      </c>
      <c r="M37" s="74" t="e">
        <f t="shared" si="1"/>
        <v>#DIV/0!</v>
      </c>
      <c r="N37" s="127">
        <f>G37+' (смета) (2)'!G34+' (смета) (3)'!G35+' (смета) (4)'!G33+' (смета) (5)'!G33+' (смета) (6)'!G33</f>
        <v>31516.800000000003</v>
      </c>
      <c r="O37" s="19"/>
    </row>
    <row r="38" spans="2:16" s="128" customFormat="1" ht="15.75" hidden="1" customHeight="1">
      <c r="B38" s="139"/>
      <c r="C38" s="130"/>
      <c r="D38" s="130">
        <f>1.44*24*3</f>
        <v>103.68</v>
      </c>
      <c r="E38" s="131" t="s">
        <v>56</v>
      </c>
      <c r="F38" s="140"/>
      <c r="G38" s="141"/>
      <c r="H38" s="133"/>
      <c r="I38" s="133"/>
      <c r="J38" s="133"/>
      <c r="K38" s="133"/>
      <c r="L38" s="94">
        <f>(H38/3*$L$24)/($H$24/3)</f>
        <v>0</v>
      </c>
      <c r="M38" s="74" t="e">
        <f>F38/$N$11</f>
        <v>#DIV/0!</v>
      </c>
      <c r="N38" s="127">
        <f>G38+' (смета) (2)'!G35+' (смета) (3)'!G36+' (смета) (4)'!G34+' (смета) (5)'!G34+' (смета) (6)'!G34</f>
        <v>0</v>
      </c>
      <c r="O38" s="134"/>
      <c r="P38" s="128">
        <v>224</v>
      </c>
    </row>
    <row r="39" spans="2:16" s="128" customFormat="1" ht="15.75" hidden="1" customHeight="1">
      <c r="B39" s="130" t="s">
        <v>57</v>
      </c>
      <c r="C39" s="134"/>
      <c r="D39" s="130"/>
      <c r="E39" s="131"/>
      <c r="F39" s="130"/>
      <c r="G39" s="142"/>
      <c r="H39" s="133"/>
      <c r="I39" s="133"/>
      <c r="J39" s="133"/>
      <c r="K39" s="133"/>
      <c r="L39" s="94">
        <f>(H39/3*$L$24)/($H$24/3)</f>
        <v>0</v>
      </c>
      <c r="M39" s="74" t="e">
        <f t="shared" ref="M39:M65" si="2">G39/$N$11</f>
        <v>#DIV/0!</v>
      </c>
      <c r="N39" s="127">
        <f>G39+' (смета) (2)'!G36+' (смета) (3)'!G37+' (смета) (4)'!G35+' (смета) (5)'!G35+' (смета) (6)'!G35</f>
        <v>0</v>
      </c>
      <c r="O39" s="134"/>
    </row>
    <row r="40" spans="2:16" s="128" customFormat="1" ht="15.75" hidden="1" customHeight="1">
      <c r="B40" s="143"/>
      <c r="C40" s="130" t="s">
        <v>58</v>
      </c>
      <c r="D40" s="130"/>
      <c r="E40" s="131"/>
      <c r="F40" s="143"/>
      <c r="G40" s="142" t="s">
        <v>59</v>
      </c>
      <c r="H40" s="133"/>
      <c r="I40" s="133"/>
      <c r="J40" s="133"/>
      <c r="K40" s="133"/>
      <c r="L40" s="94">
        <f>(H40/3*$L$24)/($H$24/3)</f>
        <v>0</v>
      </c>
      <c r="M40" s="74" t="e">
        <f t="shared" si="2"/>
        <v>#VALUE!</v>
      </c>
      <c r="N40" s="127" t="e">
        <f>G40+' (смета) (2)'!G37+' (смета) (3)'!G38+' (смета) (4)'!G36+' (смета) (5)'!G36+' (смета) (6)'!G36</f>
        <v>#VALUE!</v>
      </c>
      <c r="O40" s="134"/>
    </row>
    <row r="41" spans="2:16" s="122" customFormat="1" ht="17.25" customHeight="1">
      <c r="B41" s="144" t="s">
        <v>60</v>
      </c>
      <c r="C41" s="93"/>
      <c r="D41" s="93"/>
      <c r="E41" s="123">
        <v>1.4E-2</v>
      </c>
      <c r="F41" s="145"/>
      <c r="G41" s="125">
        <f>SUM(H41:K41)</f>
        <v>705.59999999999991</v>
      </c>
      <c r="H41" s="126">
        <f>+H24*1.4%</f>
        <v>78.399999999999991</v>
      </c>
      <c r="I41" s="126">
        <f>+I24*1.4%</f>
        <v>235.2</v>
      </c>
      <c r="J41" s="126">
        <f>+J24*1.4%</f>
        <v>235.2</v>
      </c>
      <c r="K41" s="126">
        <f>+K24*1.4%</f>
        <v>156.79999999999998</v>
      </c>
      <c r="L41" s="94" t="e">
        <f>M41</f>
        <v>#DIV/0!</v>
      </c>
      <c r="M41" s="74" t="e">
        <f t="shared" si="2"/>
        <v>#DIV/0!</v>
      </c>
      <c r="N41" s="127">
        <f>G41+' (смета) (2)'!G38+' (смета) (3)'!G39+' (смета) (4)'!G37+' (смета) (5)'!G37+' (смета) (6)'!G37</f>
        <v>21011.199999999997</v>
      </c>
      <c r="O41" s="19"/>
    </row>
    <row r="42" spans="2:16" s="128" customFormat="1" ht="18.75" hidden="1" customHeight="1">
      <c r="B42" s="139" t="s">
        <v>61</v>
      </c>
      <c r="C42" s="130"/>
      <c r="D42" s="130">
        <f>50</f>
        <v>50</v>
      </c>
      <c r="E42" s="130" t="s">
        <v>62</v>
      </c>
      <c r="F42" s="134"/>
      <c r="G42" s="146"/>
      <c r="H42" s="147"/>
      <c r="I42" s="147"/>
      <c r="J42" s="147"/>
      <c r="K42" s="147"/>
      <c r="L42" s="148"/>
      <c r="M42" s="74" t="e">
        <f t="shared" si="2"/>
        <v>#DIV/0!</v>
      </c>
      <c r="N42" s="149"/>
      <c r="O42" s="134"/>
      <c r="P42" s="128">
        <v>224</v>
      </c>
    </row>
    <row r="43" spans="2:16" s="128" customFormat="1" ht="18.75" hidden="1" customHeight="1">
      <c r="B43" s="139" t="s">
        <v>63</v>
      </c>
      <c r="C43" s="130"/>
      <c r="D43" s="130">
        <f>50</f>
        <v>50</v>
      </c>
      <c r="E43" s="130" t="s">
        <v>62</v>
      </c>
      <c r="F43" s="134"/>
      <c r="G43" s="146"/>
      <c r="H43" s="147"/>
      <c r="I43" s="147"/>
      <c r="J43" s="147"/>
      <c r="K43" s="147">
        <f>H43</f>
        <v>0</v>
      </c>
      <c r="L43" s="148"/>
      <c r="M43" s="74" t="e">
        <f t="shared" si="2"/>
        <v>#DIV/0!</v>
      </c>
      <c r="N43" s="149"/>
      <c r="O43" s="134"/>
      <c r="P43" s="128">
        <v>224</v>
      </c>
    </row>
    <row r="44" spans="2:16" s="122" customFormat="1" ht="11.25" hidden="1" customHeight="1">
      <c r="B44" s="150"/>
      <c r="C44" s="52"/>
      <c r="D44" s="52"/>
      <c r="E44" s="52"/>
      <c r="F44" s="52"/>
      <c r="G44" s="50"/>
      <c r="H44" s="50"/>
      <c r="I44" s="67"/>
      <c r="J44" s="151"/>
      <c r="K44" s="151"/>
      <c r="L44" s="148"/>
      <c r="M44" s="74" t="e">
        <f t="shared" si="2"/>
        <v>#DIV/0!</v>
      </c>
      <c r="N44" s="18"/>
      <c r="O44" s="19"/>
    </row>
    <row r="45" spans="2:16" s="115" customFormat="1" ht="18.75" hidden="1" customHeight="1">
      <c r="B45" s="116" t="s">
        <v>64</v>
      </c>
      <c r="C45" s="117"/>
      <c r="D45" s="117"/>
      <c r="E45" s="117"/>
      <c r="F45" s="117"/>
      <c r="G45" s="59"/>
      <c r="H45" s="152"/>
      <c r="I45" s="152"/>
      <c r="J45" s="152"/>
      <c r="K45" s="153"/>
      <c r="L45" s="154"/>
      <c r="M45" s="74" t="e">
        <f t="shared" si="2"/>
        <v>#DIV/0!</v>
      </c>
      <c r="N45" s="36"/>
      <c r="O45" s="32"/>
    </row>
    <row r="46" spans="2:16" s="115" customFormat="1" ht="20.25" hidden="1" customHeight="1">
      <c r="B46" s="155"/>
      <c r="C46" s="156"/>
      <c r="D46" s="156"/>
      <c r="E46" s="156"/>
      <c r="F46" s="156"/>
      <c r="G46" s="49">
        <f t="shared" ref="G46:G56" si="3">SUM(H46:K46)</f>
        <v>0</v>
      </c>
      <c r="H46" s="157"/>
      <c r="I46" s="157"/>
      <c r="J46" s="157"/>
      <c r="K46" s="157"/>
      <c r="L46" s="119">
        <f>(H46/3*$L$24)/($H$24/3)</f>
        <v>0</v>
      </c>
      <c r="M46" s="74" t="e">
        <f t="shared" si="2"/>
        <v>#DIV/0!</v>
      </c>
      <c r="N46" s="36"/>
      <c r="O46" s="32"/>
    </row>
    <row r="47" spans="2:16" s="115" customFormat="1" ht="21" hidden="1" customHeight="1">
      <c r="B47" s="158" t="s">
        <v>65</v>
      </c>
      <c r="C47" s="159"/>
      <c r="D47" s="159"/>
      <c r="E47" s="159"/>
      <c r="F47" s="159"/>
      <c r="G47" s="49">
        <f t="shared" si="3"/>
        <v>0</v>
      </c>
      <c r="H47" s="152">
        <f>H48+H50+H51</f>
        <v>0</v>
      </c>
      <c r="I47" s="152">
        <f>I48+I50+I51</f>
        <v>0</v>
      </c>
      <c r="J47" s="152">
        <f>J48+J50+J51</f>
        <v>0</v>
      </c>
      <c r="K47" s="152">
        <f>K48+K50+K51</f>
        <v>0</v>
      </c>
      <c r="L47" s="100" t="e">
        <f>L48+L50+L51</f>
        <v>#DIV/0!</v>
      </c>
      <c r="M47" s="74" t="e">
        <f t="shared" si="2"/>
        <v>#DIV/0!</v>
      </c>
      <c r="N47" s="36"/>
      <c r="O47" s="32"/>
    </row>
    <row r="48" spans="2:16" s="160" customFormat="1" ht="15" hidden="1" customHeight="1">
      <c r="B48" s="144" t="s">
        <v>66</v>
      </c>
      <c r="C48" s="161"/>
      <c r="D48" s="161"/>
      <c r="E48" s="161"/>
      <c r="F48" s="145"/>
      <c r="G48" s="49">
        <f t="shared" si="3"/>
        <v>0</v>
      </c>
      <c r="H48" s="49"/>
      <c r="I48" s="49"/>
      <c r="J48" s="49"/>
      <c r="K48" s="49"/>
      <c r="L48" s="162">
        <f>(H48/3*$L$24)/($H$24/3)</f>
        <v>0</v>
      </c>
      <c r="M48" s="74" t="e">
        <f t="shared" si="2"/>
        <v>#DIV/0!</v>
      </c>
      <c r="N48" s="36"/>
      <c r="O48" s="32"/>
    </row>
    <row r="49" spans="1:15" s="128" customFormat="1" ht="15" hidden="1" customHeight="1">
      <c r="B49" s="139" t="s">
        <v>67</v>
      </c>
      <c r="C49" s="130"/>
      <c r="D49" s="130"/>
      <c r="E49" s="130"/>
      <c r="F49" s="130" t="s">
        <v>68</v>
      </c>
      <c r="G49" s="49">
        <f t="shared" si="3"/>
        <v>0</v>
      </c>
      <c r="H49" s="147">
        <f>ROUND(E49*0.976*1.18,1)</f>
        <v>0</v>
      </c>
      <c r="I49" s="147">
        <f>ROUND(E49*0.976*1.18,1)</f>
        <v>0</v>
      </c>
      <c r="J49" s="147">
        <f>ROUND(E49*0.976*1.18,1)</f>
        <v>0</v>
      </c>
      <c r="K49" s="147">
        <f>ROUND(E49*0.976*1.18,1)</f>
        <v>0</v>
      </c>
      <c r="L49" s="163">
        <f>(H49/3*$L$24)/($H$24/3)</f>
        <v>0</v>
      </c>
      <c r="M49" s="74" t="e">
        <f t="shared" si="2"/>
        <v>#DIV/0!</v>
      </c>
      <c r="N49" s="149"/>
      <c r="O49" s="134"/>
    </row>
    <row r="50" spans="1:15" s="122" customFormat="1" ht="15" hidden="1" customHeight="1">
      <c r="B50" s="99" t="s">
        <v>69</v>
      </c>
      <c r="C50" s="93"/>
      <c r="D50" s="93"/>
      <c r="E50" s="93"/>
      <c r="F50" s="124"/>
      <c r="G50" s="49">
        <f t="shared" si="3"/>
        <v>0</v>
      </c>
      <c r="H50" s="49"/>
      <c r="I50" s="49"/>
      <c r="J50" s="49"/>
      <c r="K50" s="49"/>
      <c r="L50" s="119" t="e">
        <f>M50</f>
        <v>#DIV/0!</v>
      </c>
      <c r="M50" s="74" t="e">
        <f t="shared" si="2"/>
        <v>#DIV/0!</v>
      </c>
      <c r="N50" s="18"/>
      <c r="O50" s="19"/>
    </row>
    <row r="51" spans="1:15" s="128" customFormat="1" ht="15" hidden="1" customHeight="1">
      <c r="B51" s="99" t="s">
        <v>70</v>
      </c>
      <c r="C51" s="164"/>
      <c r="D51" s="164"/>
      <c r="E51" s="164"/>
      <c r="F51" s="164"/>
      <c r="G51" s="49">
        <f t="shared" si="3"/>
        <v>0</v>
      </c>
      <c r="H51" s="49"/>
      <c r="I51" s="49"/>
      <c r="J51" s="49"/>
      <c r="K51" s="49"/>
      <c r="L51" s="165" t="e">
        <f>M51</f>
        <v>#DIV/0!</v>
      </c>
      <c r="M51" s="74" t="e">
        <f t="shared" si="2"/>
        <v>#DIV/0!</v>
      </c>
      <c r="N51" s="149"/>
      <c r="O51" s="134"/>
    </row>
    <row r="52" spans="1:15" s="115" customFormat="1" ht="18" customHeight="1">
      <c r="B52" s="120" t="s">
        <v>71</v>
      </c>
      <c r="C52" s="121"/>
      <c r="D52" s="121"/>
      <c r="E52" s="121"/>
      <c r="F52" s="121"/>
      <c r="G52" s="49">
        <f t="shared" si="3"/>
        <v>3175.2000000000003</v>
      </c>
      <c r="H52" s="49">
        <f>SUM(H53:H56)</f>
        <v>352.8</v>
      </c>
      <c r="I52" s="49">
        <f>SUM(I53:I56)</f>
        <v>1058.4000000000001</v>
      </c>
      <c r="J52" s="49">
        <f>SUM(J53:J56)</f>
        <v>1058.4000000000001</v>
      </c>
      <c r="K52" s="49">
        <f>SUM(K53:K56)</f>
        <v>705.6</v>
      </c>
      <c r="L52" s="119" t="e">
        <f>L53+L54+L55</f>
        <v>#DIV/0!</v>
      </c>
      <c r="M52" s="74" t="e">
        <f t="shared" si="2"/>
        <v>#DIV/0!</v>
      </c>
      <c r="N52" s="166">
        <f>N34+N37+N41</f>
        <v>150080</v>
      </c>
      <c r="O52" s="32"/>
    </row>
    <row r="53" spans="1:15" s="122" customFormat="1" ht="32.25" customHeight="1">
      <c r="B53" s="9" t="s">
        <v>72</v>
      </c>
      <c r="C53" s="9"/>
      <c r="D53" s="9"/>
      <c r="E53" s="167">
        <v>0.05</v>
      </c>
      <c r="F53" s="93"/>
      <c r="G53" s="49">
        <f t="shared" si="3"/>
        <v>2520</v>
      </c>
      <c r="H53" s="49">
        <f>H24*5%</f>
        <v>280</v>
      </c>
      <c r="I53" s="49">
        <f>I24*5%</f>
        <v>840</v>
      </c>
      <c r="J53" s="49">
        <f>J24*5%</f>
        <v>840</v>
      </c>
      <c r="K53" s="49">
        <f>K24*5%</f>
        <v>560</v>
      </c>
      <c r="L53" s="165" t="e">
        <f>M53</f>
        <v>#DIV/0!</v>
      </c>
      <c r="M53" s="74" t="e">
        <f t="shared" si="2"/>
        <v>#DIV/0!</v>
      </c>
      <c r="N53" s="82">
        <f>G53/G24</f>
        <v>0.05</v>
      </c>
      <c r="O53" s="19"/>
    </row>
    <row r="54" spans="1:15" s="122" customFormat="1" ht="18.75" customHeight="1">
      <c r="B54" s="99" t="s">
        <v>73</v>
      </c>
      <c r="C54" s="105"/>
      <c r="D54" s="105"/>
      <c r="E54" s="168">
        <v>1.2999999999999999E-2</v>
      </c>
      <c r="F54" s="169"/>
      <c r="G54" s="49">
        <f t="shared" si="3"/>
        <v>655.20000000000005</v>
      </c>
      <c r="H54" s="49">
        <f>H24*1.3%</f>
        <v>72.800000000000011</v>
      </c>
      <c r="I54" s="49">
        <f>I24*1.3%</f>
        <v>218.4</v>
      </c>
      <c r="J54" s="49">
        <f>J24*1.3%</f>
        <v>218.4</v>
      </c>
      <c r="K54" s="49">
        <f>K24*1.3%</f>
        <v>145.60000000000002</v>
      </c>
      <c r="L54" s="100">
        <f>G54/7296</f>
        <v>8.980263157894737E-2</v>
      </c>
      <c r="M54" s="74" t="e">
        <f t="shared" si="2"/>
        <v>#DIV/0!</v>
      </c>
      <c r="N54" s="82">
        <f>G54/G24</f>
        <v>1.3000000000000001E-2</v>
      </c>
      <c r="O54" s="19"/>
    </row>
    <row r="55" spans="1:15" s="122" customFormat="1" ht="15" hidden="1" customHeight="1">
      <c r="B55" s="99" t="s">
        <v>74</v>
      </c>
      <c r="C55" s="161"/>
      <c r="D55" s="161"/>
      <c r="E55" s="161"/>
      <c r="F55" s="161"/>
      <c r="G55" s="49">
        <f t="shared" si="3"/>
        <v>0</v>
      </c>
      <c r="H55" s="49"/>
      <c r="I55" s="49"/>
      <c r="J55" s="49"/>
      <c r="K55" s="49"/>
      <c r="L55" s="100">
        <f>L56</f>
        <v>0</v>
      </c>
      <c r="M55" s="74" t="e">
        <f t="shared" si="2"/>
        <v>#DIV/0!</v>
      </c>
      <c r="N55" s="18"/>
      <c r="O55" s="19"/>
    </row>
    <row r="56" spans="1:15" s="128" customFormat="1" ht="16.5" hidden="1" customHeight="1">
      <c r="B56" s="170" t="s">
        <v>75</v>
      </c>
      <c r="C56" s="171"/>
      <c r="D56" s="171"/>
      <c r="E56" s="172">
        <v>0.6</v>
      </c>
      <c r="F56" s="171"/>
      <c r="G56" s="49">
        <f t="shared" si="3"/>
        <v>0</v>
      </c>
      <c r="H56" s="49">
        <f>H24*60%-H25</f>
        <v>0</v>
      </c>
      <c r="I56" s="49">
        <f>I24*60%-I25</f>
        <v>0</v>
      </c>
      <c r="J56" s="49">
        <f>J24*60%-J25</f>
        <v>0</v>
      </c>
      <c r="K56" s="49">
        <f>K24*60%-K25</f>
        <v>0</v>
      </c>
      <c r="L56" s="173">
        <f>G56/1440</f>
        <v>0</v>
      </c>
      <c r="M56" s="74" t="e">
        <f t="shared" si="2"/>
        <v>#DIV/0!</v>
      </c>
      <c r="N56" s="149"/>
      <c r="O56" s="134"/>
    </row>
    <row r="57" spans="1:15" s="128" customFormat="1" ht="15" hidden="1" customHeight="1">
      <c r="B57" s="139"/>
      <c r="C57" s="130"/>
      <c r="D57" s="130"/>
      <c r="E57" s="130"/>
      <c r="F57" s="130"/>
      <c r="G57" s="59"/>
      <c r="H57" s="152"/>
      <c r="I57" s="152"/>
      <c r="J57" s="152"/>
      <c r="K57" s="153"/>
      <c r="L57" s="174"/>
      <c r="M57" s="74" t="e">
        <f t="shared" si="2"/>
        <v>#DIV/0!</v>
      </c>
      <c r="N57" s="149"/>
      <c r="O57" s="134"/>
    </row>
    <row r="58" spans="1:15" s="19" customFormat="1" ht="15" hidden="1" customHeight="1">
      <c r="A58" s="52"/>
      <c r="B58" s="175" t="s">
        <v>76</v>
      </c>
      <c r="C58" s="176"/>
      <c r="D58" s="176"/>
      <c r="E58" s="176"/>
      <c r="F58" s="176"/>
      <c r="G58" s="59">
        <f t="shared" ref="G58:L58" si="4">G59+G60</f>
        <v>0</v>
      </c>
      <c r="H58" s="59">
        <f t="shared" si="4"/>
        <v>0</v>
      </c>
      <c r="I58" s="59">
        <f t="shared" si="4"/>
        <v>0</v>
      </c>
      <c r="J58" s="59">
        <f t="shared" si="4"/>
        <v>0</v>
      </c>
      <c r="K58" s="59">
        <f t="shared" si="4"/>
        <v>0</v>
      </c>
      <c r="L58" s="177" t="e">
        <f t="shared" si="4"/>
        <v>#DIV/0!</v>
      </c>
      <c r="M58" s="74" t="e">
        <f t="shared" si="2"/>
        <v>#DIV/0!</v>
      </c>
      <c r="N58" s="18"/>
    </row>
    <row r="59" spans="1:15" s="19" customFormat="1" ht="15" hidden="1" customHeight="1">
      <c r="A59" s="52"/>
      <c r="B59" s="139" t="s">
        <v>77</v>
      </c>
      <c r="C59" s="178"/>
      <c r="D59" s="178"/>
      <c r="E59" s="178"/>
      <c r="F59" s="178"/>
      <c r="G59" s="49"/>
      <c r="H59" s="49"/>
      <c r="I59" s="49"/>
      <c r="J59" s="49"/>
      <c r="K59" s="49"/>
      <c r="L59" s="177" t="e">
        <f>M59</f>
        <v>#DIV/0!</v>
      </c>
      <c r="M59" s="74" t="e">
        <f t="shared" si="2"/>
        <v>#DIV/0!</v>
      </c>
      <c r="N59" s="18"/>
    </row>
    <row r="60" spans="1:15" s="19" customFormat="1" ht="15" hidden="1" customHeight="1">
      <c r="A60" s="52"/>
      <c r="B60" s="155" t="s">
        <v>78</v>
      </c>
      <c r="C60" s="179"/>
      <c r="D60" s="179"/>
      <c r="E60" s="179"/>
      <c r="F60" s="180"/>
      <c r="G60" s="58">
        <f t="shared" ref="G60:G75" si="5">SUM(H60:K60)</f>
        <v>0</v>
      </c>
      <c r="H60" s="58"/>
      <c r="I60" s="181"/>
      <c r="J60" s="58"/>
      <c r="K60" s="182"/>
      <c r="L60" s="174" t="e">
        <f>M60</f>
        <v>#DIV/0!</v>
      </c>
      <c r="M60" s="74" t="e">
        <f t="shared" si="2"/>
        <v>#DIV/0!</v>
      </c>
      <c r="N60" s="18"/>
    </row>
    <row r="61" spans="1:15" s="19" customFormat="1" ht="15" hidden="1" customHeight="1">
      <c r="A61" s="52"/>
      <c r="B61" s="183"/>
      <c r="C61" s="184"/>
      <c r="D61" s="184"/>
      <c r="E61" s="184"/>
      <c r="F61" s="184"/>
      <c r="G61" s="185">
        <f t="shared" si="5"/>
        <v>0</v>
      </c>
      <c r="H61" s="185"/>
      <c r="I61" s="185"/>
      <c r="J61" s="185"/>
      <c r="K61" s="185"/>
      <c r="L61" s="186">
        <f>G61/7296</f>
        <v>0</v>
      </c>
      <c r="M61" s="74" t="e">
        <f t="shared" si="2"/>
        <v>#DIV/0!</v>
      </c>
      <c r="N61" s="18"/>
    </row>
    <row r="62" spans="1:15" s="19" customFormat="1" ht="24.95" customHeight="1">
      <c r="A62" s="52"/>
      <c r="B62" s="187" t="s">
        <v>79</v>
      </c>
      <c r="C62" s="188"/>
      <c r="D62" s="188"/>
      <c r="E62" s="188"/>
      <c r="F62" s="188"/>
      <c r="G62" s="113">
        <f t="shared" si="5"/>
        <v>11944.8</v>
      </c>
      <c r="H62" s="113">
        <f>H69+H63</f>
        <v>1327.2</v>
      </c>
      <c r="I62" s="113">
        <f>I69+I63</f>
        <v>3981.6</v>
      </c>
      <c r="J62" s="113">
        <f>J69+J63</f>
        <v>3981.6</v>
      </c>
      <c r="K62" s="113">
        <f>K69+K63</f>
        <v>2654.4</v>
      </c>
      <c r="L62" s="189" t="e">
        <f>L69+L63</f>
        <v>#DIV/0!</v>
      </c>
      <c r="M62" s="74" t="e">
        <f t="shared" si="2"/>
        <v>#DIV/0!</v>
      </c>
      <c r="N62" s="82">
        <f>G62/G24</f>
        <v>0.23699999999999999</v>
      </c>
    </row>
    <row r="63" spans="1:15" s="32" customFormat="1" ht="17.25" customHeight="1">
      <c r="B63" s="190" t="s">
        <v>80</v>
      </c>
      <c r="C63" s="117"/>
      <c r="D63" s="117"/>
      <c r="E63" s="117"/>
      <c r="F63" s="117"/>
      <c r="G63" s="191">
        <f t="shared" si="5"/>
        <v>11944.8</v>
      </c>
      <c r="H63" s="191">
        <f>H64</f>
        <v>1327.2</v>
      </c>
      <c r="I63" s="191">
        <f>I64</f>
        <v>3981.6</v>
      </c>
      <c r="J63" s="191">
        <f>J64</f>
        <v>3981.6</v>
      </c>
      <c r="K63" s="191">
        <f>K64</f>
        <v>2654.4</v>
      </c>
      <c r="L63" s="192" t="e">
        <f>M63</f>
        <v>#DIV/0!</v>
      </c>
      <c r="M63" s="74" t="e">
        <f t="shared" si="2"/>
        <v>#DIV/0!</v>
      </c>
      <c r="N63" s="36"/>
    </row>
    <row r="64" spans="1:15" s="160" customFormat="1" ht="17.25" customHeight="1">
      <c r="B64" s="99" t="s">
        <v>81</v>
      </c>
      <c r="C64" s="93"/>
      <c r="D64" s="93"/>
      <c r="E64" s="93"/>
      <c r="F64" s="93"/>
      <c r="G64" s="49">
        <f t="shared" si="5"/>
        <v>11944.8</v>
      </c>
      <c r="H64" s="49">
        <f>H24*23.7%</f>
        <v>1327.2</v>
      </c>
      <c r="I64" s="49">
        <f>I24*23.7%</f>
        <v>3981.6</v>
      </c>
      <c r="J64" s="49">
        <f>J24*23.7%</f>
        <v>3981.6</v>
      </c>
      <c r="K64" s="49">
        <f>K24*23.7%</f>
        <v>2654.4</v>
      </c>
      <c r="L64" s="192" t="e">
        <f>G64/$N$11</f>
        <v>#DIV/0!</v>
      </c>
      <c r="M64" s="74" t="e">
        <f t="shared" si="2"/>
        <v>#DIV/0!</v>
      </c>
      <c r="N64" s="36"/>
      <c r="O64" s="32"/>
    </row>
    <row r="65" spans="2:15" s="160" customFormat="1" ht="17.25" hidden="1" customHeight="1">
      <c r="B65" s="99" t="s">
        <v>82</v>
      </c>
      <c r="C65" s="93"/>
      <c r="D65" s="93"/>
      <c r="E65" s="93"/>
      <c r="F65" s="93"/>
      <c r="G65" s="49">
        <f t="shared" si="5"/>
        <v>0</v>
      </c>
      <c r="H65" s="49"/>
      <c r="I65" s="49"/>
      <c r="J65" s="49"/>
      <c r="K65" s="49"/>
      <c r="L65" s="193" t="e">
        <f>G65/$N$11</f>
        <v>#DIV/0!</v>
      </c>
      <c r="M65" s="74" t="e">
        <f t="shared" si="2"/>
        <v>#DIV/0!</v>
      </c>
      <c r="N65" s="36"/>
      <c r="O65" s="32"/>
    </row>
    <row r="66" spans="2:15" s="160" customFormat="1" ht="17.25" hidden="1" customHeight="1">
      <c r="B66" s="144" t="s">
        <v>83</v>
      </c>
      <c r="C66" s="161"/>
      <c r="D66" s="161"/>
      <c r="E66" s="161"/>
      <c r="F66" s="161"/>
      <c r="G66" s="49">
        <f t="shared" si="5"/>
        <v>0</v>
      </c>
      <c r="H66" s="49"/>
      <c r="I66" s="49"/>
      <c r="J66" s="49"/>
      <c r="K66" s="49"/>
      <c r="L66" s="193"/>
      <c r="M66" s="74"/>
      <c r="N66" s="36"/>
      <c r="O66" s="32"/>
    </row>
    <row r="67" spans="2:15" s="122" customFormat="1" ht="17.25" hidden="1" customHeight="1">
      <c r="B67" s="144" t="s">
        <v>84</v>
      </c>
      <c r="C67" s="161"/>
      <c r="D67" s="161"/>
      <c r="E67" s="161"/>
      <c r="F67" s="161"/>
      <c r="G67" s="49">
        <f t="shared" si="5"/>
        <v>0</v>
      </c>
      <c r="H67" s="49"/>
      <c r="I67" s="49"/>
      <c r="J67" s="49"/>
      <c r="K67" s="49"/>
      <c r="L67" s="193" t="e">
        <f>M67</f>
        <v>#DIV/0!</v>
      </c>
      <c r="M67" s="74" t="e">
        <f t="shared" ref="M67:M75" si="6">G67/$N$11</f>
        <v>#DIV/0!</v>
      </c>
      <c r="N67" s="18"/>
      <c r="O67" s="19"/>
    </row>
    <row r="68" spans="2:15" s="122" customFormat="1" ht="17.25" hidden="1" customHeight="1">
      <c r="B68" s="99" t="s">
        <v>85</v>
      </c>
      <c r="C68" s="93"/>
      <c r="D68" s="93"/>
      <c r="E68" s="93"/>
      <c r="F68" s="93"/>
      <c r="G68" s="49">
        <f t="shared" si="5"/>
        <v>0</v>
      </c>
      <c r="H68" s="49"/>
      <c r="I68" s="49"/>
      <c r="J68" s="49"/>
      <c r="K68" s="49"/>
      <c r="L68" s="193" t="e">
        <f>G68/$N$11</f>
        <v>#DIV/0!</v>
      </c>
      <c r="M68" s="74" t="e">
        <f t="shared" si="6"/>
        <v>#DIV/0!</v>
      </c>
      <c r="N68" s="18"/>
      <c r="O68" s="19"/>
    </row>
    <row r="69" spans="2:15" s="115" customFormat="1" ht="16.5" hidden="1" customHeight="1">
      <c r="B69" s="120" t="s">
        <v>86</v>
      </c>
      <c r="C69" s="121"/>
      <c r="D69" s="121"/>
      <c r="E69" s="121"/>
      <c r="F69" s="121"/>
      <c r="G69" s="49">
        <f t="shared" si="5"/>
        <v>0</v>
      </c>
      <c r="H69" s="49"/>
      <c r="I69" s="49"/>
      <c r="J69" s="49"/>
      <c r="K69" s="49"/>
      <c r="L69" s="192" t="e">
        <f>L71+L72+L73</f>
        <v>#DIV/0!</v>
      </c>
      <c r="M69" s="74" t="e">
        <f t="shared" si="6"/>
        <v>#DIV/0!</v>
      </c>
      <c r="N69" s="36"/>
      <c r="O69" s="32"/>
    </row>
    <row r="70" spans="2:15" s="160" customFormat="1" ht="15" hidden="1" customHeight="1">
      <c r="B70" s="99" t="s">
        <v>87</v>
      </c>
      <c r="C70" s="194"/>
      <c r="D70" s="194"/>
      <c r="E70" s="194"/>
      <c r="F70" s="194"/>
      <c r="G70" s="49">
        <f t="shared" si="5"/>
        <v>0</v>
      </c>
      <c r="H70" s="49"/>
      <c r="I70" s="49"/>
      <c r="J70" s="49"/>
      <c r="K70" s="49"/>
      <c r="L70" s="193" t="e">
        <f>G70/$N$11</f>
        <v>#DIV/0!</v>
      </c>
      <c r="M70" s="74" t="e">
        <f t="shared" si="6"/>
        <v>#DIV/0!</v>
      </c>
      <c r="N70" s="36"/>
      <c r="O70" s="32"/>
    </row>
    <row r="71" spans="2:15" s="160" customFormat="1" ht="15" hidden="1" customHeight="1">
      <c r="B71" s="99" t="s">
        <v>88</v>
      </c>
      <c r="C71" s="93"/>
      <c r="D71" s="93"/>
      <c r="E71" s="93"/>
      <c r="F71" s="93"/>
      <c r="G71" s="49">
        <f t="shared" si="5"/>
        <v>0</v>
      </c>
      <c r="H71" s="49"/>
      <c r="I71" s="49"/>
      <c r="J71" s="49"/>
      <c r="K71" s="49"/>
      <c r="L71" s="193" t="e">
        <f>G71/$N$11</f>
        <v>#DIV/0!</v>
      </c>
      <c r="M71" s="74" t="e">
        <f t="shared" si="6"/>
        <v>#DIV/0!</v>
      </c>
      <c r="N71" s="36"/>
      <c r="O71" s="32"/>
    </row>
    <row r="72" spans="2:15" s="122" customFormat="1" ht="15" hidden="1" customHeight="1">
      <c r="B72" s="99" t="s">
        <v>89</v>
      </c>
      <c r="C72" s="93"/>
      <c r="D72" s="93"/>
      <c r="E72" s="93"/>
      <c r="F72" s="93"/>
      <c r="G72" s="49">
        <f t="shared" si="5"/>
        <v>0</v>
      </c>
      <c r="H72" s="49"/>
      <c r="I72" s="49"/>
      <c r="J72" s="49"/>
      <c r="K72" s="49"/>
      <c r="L72" s="193" t="e">
        <f>G72/$N$11</f>
        <v>#DIV/0!</v>
      </c>
      <c r="M72" s="74" t="e">
        <f t="shared" si="6"/>
        <v>#DIV/0!</v>
      </c>
      <c r="N72" s="18"/>
      <c r="O72" s="19"/>
    </row>
    <row r="73" spans="2:15" s="122" customFormat="1" ht="15" hidden="1" customHeight="1">
      <c r="B73" s="99" t="s">
        <v>90</v>
      </c>
      <c r="C73" s="93"/>
      <c r="D73" s="93"/>
      <c r="E73" s="93"/>
      <c r="F73" s="93"/>
      <c r="G73" s="49">
        <f t="shared" si="5"/>
        <v>0</v>
      </c>
      <c r="H73" s="49">
        <f>SUM(H74:H79)</f>
        <v>0</v>
      </c>
      <c r="I73" s="49">
        <f>SUM(I74:I79)</f>
        <v>0</v>
      </c>
      <c r="J73" s="49">
        <f>SUM(J74:J79)</f>
        <v>0</v>
      </c>
      <c r="K73" s="49">
        <f>SUM(K74:K79)</f>
        <v>0</v>
      </c>
      <c r="L73" s="177" t="e">
        <f>SUM(L74:L79)</f>
        <v>#DIV/0!</v>
      </c>
      <c r="M73" s="74" t="e">
        <f t="shared" si="6"/>
        <v>#DIV/0!</v>
      </c>
      <c r="N73" s="18"/>
      <c r="O73" s="19"/>
    </row>
    <row r="74" spans="2:15" s="122" customFormat="1" ht="15" hidden="1" customHeight="1">
      <c r="B74" s="195" t="s">
        <v>91</v>
      </c>
      <c r="C74" s="196"/>
      <c r="D74" s="196"/>
      <c r="E74" s="196"/>
      <c r="F74" s="197"/>
      <c r="G74" s="49">
        <f t="shared" si="5"/>
        <v>0</v>
      </c>
      <c r="H74" s="49"/>
      <c r="I74" s="49"/>
      <c r="J74" s="49"/>
      <c r="K74" s="49"/>
      <c r="L74" s="165" t="e">
        <f>M74</f>
        <v>#DIV/0!</v>
      </c>
      <c r="M74" s="74" t="e">
        <f t="shared" si="6"/>
        <v>#DIV/0!</v>
      </c>
      <c r="N74" s="18"/>
      <c r="O74" s="19"/>
    </row>
    <row r="75" spans="2:15" s="122" customFormat="1" ht="16.5" hidden="1" customHeight="1">
      <c r="B75" s="144" t="s">
        <v>92</v>
      </c>
      <c r="C75" s="161"/>
      <c r="D75" s="161"/>
      <c r="E75" s="161"/>
      <c r="F75" s="198"/>
      <c r="G75" s="153">
        <f t="shared" si="5"/>
        <v>0</v>
      </c>
      <c r="H75" s="49"/>
      <c r="I75" s="49"/>
      <c r="J75" s="49"/>
      <c r="K75" s="49"/>
      <c r="L75" s="106" t="e">
        <f>M75</f>
        <v>#DIV/0!</v>
      </c>
      <c r="M75" s="74" t="e">
        <f t="shared" si="6"/>
        <v>#DIV/0!</v>
      </c>
      <c r="N75" s="18"/>
      <c r="O75" s="19"/>
    </row>
    <row r="76" spans="2:15" s="122" customFormat="1" ht="15" hidden="1" customHeight="1">
      <c r="B76" s="144" t="s">
        <v>93</v>
      </c>
      <c r="C76" s="161"/>
      <c r="D76" s="161"/>
      <c r="E76" s="161"/>
      <c r="F76" s="198"/>
      <c r="G76" s="49">
        <f>+H76+I76+J76+K76</f>
        <v>0</v>
      </c>
      <c r="H76" s="49"/>
      <c r="I76" s="49"/>
      <c r="J76" s="49"/>
      <c r="K76" s="49"/>
      <c r="L76" s="199" t="e">
        <f>L24-L75-L30</f>
        <v>#DIV/0!</v>
      </c>
      <c r="M76" s="17" t="e">
        <f>G79/$N$11</f>
        <v>#DIV/0!</v>
      </c>
      <c r="N76" s="18"/>
      <c r="O76" s="19"/>
    </row>
    <row r="77" spans="2:15" s="122" customFormat="1" ht="15" hidden="1" customHeight="1">
      <c r="B77" s="99" t="s">
        <v>94</v>
      </c>
      <c r="C77" s="93"/>
      <c r="D77" s="93"/>
      <c r="E77" s="93"/>
      <c r="F77" s="200"/>
      <c r="G77" s="49">
        <f>SUM(H77:K77)</f>
        <v>0</v>
      </c>
      <c r="H77" s="49"/>
      <c r="I77" s="49"/>
      <c r="J77" s="49"/>
      <c r="K77" s="49"/>
      <c r="L77" s="193" t="e">
        <f>M77</f>
        <v>#DIV/0!</v>
      </c>
      <c r="M77" s="17" t="e">
        <f>G77/$N$11</f>
        <v>#DIV/0!</v>
      </c>
      <c r="N77" s="18"/>
      <c r="O77" s="19"/>
    </row>
    <row r="78" spans="2:15" s="122" customFormat="1" ht="15" hidden="1" customHeight="1">
      <c r="B78" s="99" t="s">
        <v>95</v>
      </c>
      <c r="C78" s="93"/>
      <c r="D78" s="93"/>
      <c r="E78" s="93"/>
      <c r="F78" s="200"/>
      <c r="G78" s="49">
        <f>SUM(H78:K78)</f>
        <v>0</v>
      </c>
      <c r="H78" s="49"/>
      <c r="I78" s="49"/>
      <c r="J78" s="49"/>
      <c r="K78" s="49"/>
      <c r="L78" s="119">
        <f>M78</f>
        <v>0</v>
      </c>
      <c r="M78" s="17"/>
      <c r="N78" s="18"/>
      <c r="O78" s="19"/>
    </row>
    <row r="79" spans="2:15" s="122" customFormat="1" ht="15" hidden="1" customHeight="1">
      <c r="B79" s="99" t="s">
        <v>96</v>
      </c>
      <c r="C79" s="93"/>
      <c r="D79" s="93"/>
      <c r="E79" s="93"/>
      <c r="F79" s="200"/>
      <c r="G79" s="49">
        <f>SUM(H79:K79)</f>
        <v>0</v>
      </c>
      <c r="H79" s="49"/>
      <c r="I79" s="49"/>
      <c r="J79" s="49"/>
      <c r="K79" s="49"/>
      <c r="L79" s="193">
        <f>M79</f>
        <v>0</v>
      </c>
      <c r="M79" s="17"/>
      <c r="N79" s="18"/>
      <c r="O79" s="19"/>
    </row>
    <row r="80" spans="2:15" s="128" customFormat="1" ht="15" hidden="1" customHeight="1">
      <c r="B80" s="170" t="s">
        <v>97</v>
      </c>
      <c r="C80" s="171"/>
      <c r="D80" s="171"/>
      <c r="E80" s="171"/>
      <c r="F80" s="171"/>
      <c r="G80" s="49">
        <f>SUM(H80:K80)</f>
        <v>0</v>
      </c>
      <c r="H80" s="49"/>
      <c r="I80" s="49"/>
      <c r="J80" s="49"/>
      <c r="K80" s="49"/>
      <c r="L80" s="119">
        <f>G80/7296</f>
        <v>0</v>
      </c>
      <c r="M80" s="17">
        <f>G80/7296</f>
        <v>0</v>
      </c>
      <c r="N80" s="149"/>
      <c r="O80" s="134"/>
    </row>
    <row r="81" spans="2:13" ht="36.75" customHeight="1">
      <c r="B81" s="23" t="s">
        <v>98</v>
      </c>
      <c r="C81" s="23"/>
      <c r="D81" s="23"/>
      <c r="E81" s="201"/>
      <c r="F81" s="23" t="s">
        <v>99</v>
      </c>
      <c r="G81" s="202"/>
      <c r="H81" s="20"/>
      <c r="I81" s="51"/>
      <c r="J81" s="20"/>
      <c r="K81" s="20"/>
      <c r="L81" s="203"/>
    </row>
    <row r="82" spans="2:13" ht="24.75" customHeight="1">
      <c r="B82" s="19" t="s">
        <v>100</v>
      </c>
      <c r="C82" s="19"/>
      <c r="D82" s="19"/>
      <c r="E82" s="204"/>
      <c r="F82" s="205" t="s">
        <v>101</v>
      </c>
      <c r="G82" s="206"/>
      <c r="H82" s="20"/>
      <c r="I82" s="20"/>
      <c r="J82" s="20"/>
      <c r="K82" s="20"/>
      <c r="L82" s="207" t="e">
        <f>L24-L26-L31-L32-L33-L46-L47-L52-L58-L62</f>
        <v>#DIV/0!</v>
      </c>
    </row>
    <row r="83" spans="2:13" ht="24.75" customHeight="1">
      <c r="B83" s="19"/>
      <c r="C83" s="19"/>
      <c r="D83" s="19"/>
      <c r="E83" s="19"/>
      <c r="F83" s="19"/>
      <c r="G83" s="20"/>
      <c r="H83" s="20"/>
      <c r="I83" s="20"/>
      <c r="J83" s="20"/>
      <c r="K83" s="208"/>
      <c r="L83" s="207"/>
    </row>
    <row r="84" spans="2:13" ht="24.75" hidden="1" customHeight="1">
      <c r="B84" s="19"/>
      <c r="C84" s="19"/>
      <c r="D84" s="19"/>
      <c r="E84" s="19"/>
      <c r="F84" s="19"/>
      <c r="G84" s="20"/>
      <c r="H84" s="20"/>
      <c r="I84" s="20"/>
      <c r="J84" s="20"/>
      <c r="K84" s="208"/>
      <c r="L84" s="207"/>
    </row>
    <row r="85" spans="2:13" ht="18.75" customHeight="1">
      <c r="B85" s="19"/>
      <c r="C85" s="19"/>
      <c r="D85" s="19"/>
      <c r="E85" s="52"/>
      <c r="F85" s="209"/>
      <c r="H85" s="209"/>
      <c r="I85" s="210"/>
      <c r="J85" s="20"/>
      <c r="K85" s="20"/>
    </row>
    <row r="86" spans="2:13" ht="12.75" customHeight="1">
      <c r="I86" s="210"/>
      <c r="J86" s="20"/>
      <c r="K86" s="20"/>
    </row>
    <row r="87" spans="2:13" ht="18.75" customHeight="1">
      <c r="I87" s="210"/>
      <c r="J87" s="20"/>
      <c r="K87" s="20"/>
    </row>
    <row r="88" spans="2:13" ht="12.75" customHeight="1">
      <c r="I88" s="210"/>
      <c r="L88" s="211" t="e">
        <f>L26+L31+L33+L47+L52+L58+L62+L32+L28</f>
        <v>#DIV/0!</v>
      </c>
      <c r="M88" s="212" t="e">
        <f>M26+M31+M33+M47+M52+M58+M62+M32+M28</f>
        <v>#DIV/0!</v>
      </c>
    </row>
    <row r="89" spans="2:13" ht="12.75" customHeight="1">
      <c r="I89" s="210"/>
    </row>
    <row r="90" spans="2:13" ht="12.75" customHeight="1">
      <c r="C90" s="213"/>
      <c r="L90" s="214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  <row r="95" spans="2:13" ht="12.75" customHeight="1">
      <c r="I95" s="210"/>
    </row>
    <row r="96" spans="2:13" ht="12.75" customHeight="1">
      <c r="I96" s="210"/>
    </row>
    <row r="97" spans="9:9" ht="12.75" customHeight="1">
      <c r="I97" s="210"/>
    </row>
    <row r="98" spans="9:9" ht="12.75" customHeight="1">
      <c r="I98" s="210"/>
    </row>
  </sheetData>
  <mergeCells count="7">
    <mergeCell ref="B53:D53"/>
    <mergeCell ref="B2:K2"/>
    <mergeCell ref="B3:K3"/>
    <mergeCell ref="P3:S3"/>
    <mergeCell ref="H22:I22"/>
    <mergeCell ref="J22:K22"/>
    <mergeCell ref="N22:N23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4"/>
  <sheetViews>
    <sheetView view="pageBreakPreview" topLeftCell="A7" zoomScale="80" zoomScaleNormal="80" zoomScalePageLayoutView="80" workbookViewId="0">
      <selection activeCell="E14" sqref="E14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/>
    <col min="16" max="16" width="11.85546875" style="15" customWidth="1"/>
    <col min="17" max="17" width="10.85546875" style="15" customWidth="1"/>
    <col min="18" max="18" width="10.7109375" style="15" customWidth="1"/>
    <col min="19" max="19" width="12.28515625" style="15" customWidth="1"/>
    <col min="20" max="20" width="17.42578125" style="15" customWidth="1"/>
    <col min="21" max="257" width="9.140625" style="15"/>
  </cols>
  <sheetData>
    <row r="1" spans="1:20" s="19" customFormat="1" ht="12.75" customHeight="1">
      <c r="G1" s="20"/>
      <c r="H1" s="20"/>
      <c r="I1" s="20"/>
      <c r="J1" s="20"/>
      <c r="K1" s="20"/>
      <c r="M1" s="17"/>
      <c r="N1" s="18"/>
    </row>
    <row r="2" spans="1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1:20" s="21" customFormat="1" ht="19.5" customHeight="1">
      <c r="B3" s="14" t="str">
        <f>' (смета) (3)'!B3:K3</f>
        <v xml:space="preserve">                 На  2024-2025 учебный год  (сентябрь -май)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1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G20</f>
        <v>86400</v>
      </c>
      <c r="Q4" s="29">
        <f>H20+I20+J20+K20</f>
        <v>86400</v>
      </c>
      <c r="R4" s="29">
        <f>G21+G26+G58</f>
        <v>86400</v>
      </c>
      <c r="S4" s="30">
        <f>'калькуляция (4)'!D45</f>
        <v>86399</v>
      </c>
      <c r="T4" s="31">
        <f>'резерв отпускных (4)'!D11+'резерв отпускных (4)'!D12+'резерв отпускных (4)'!D15+'резерв отпускных (4)'!D16</f>
        <v>51840.000000000007</v>
      </c>
    </row>
    <row r="5" spans="1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1:20" s="32" customFormat="1" ht="24" customHeight="1">
      <c r="B6" s="33" t="s">
        <v>7</v>
      </c>
      <c r="C6" s="34"/>
      <c r="D6" s="265" t="s">
        <v>182</v>
      </c>
      <c r="E6" s="34"/>
      <c r="F6" s="34"/>
      <c r="G6" s="34"/>
      <c r="H6" s="34"/>
      <c r="J6" s="34"/>
      <c r="K6" s="34"/>
      <c r="M6" s="35"/>
      <c r="N6" s="36"/>
      <c r="P6" s="37">
        <f>E16-P4</f>
        <v>0</v>
      </c>
      <c r="Q6" s="37">
        <f>E16-Q4</f>
        <v>0</v>
      </c>
      <c r="R6" s="37">
        <f>E16-R4</f>
        <v>0</v>
      </c>
      <c r="S6" s="37">
        <f>E16-S4</f>
        <v>1</v>
      </c>
      <c r="T6" s="37">
        <f>G21-T4</f>
        <v>0</v>
      </c>
    </row>
    <row r="7" spans="1:20" s="19" customFormat="1" ht="18" customHeight="1">
      <c r="B7" s="38" t="s">
        <v>9</v>
      </c>
      <c r="C7" s="263"/>
      <c r="D7" s="266" t="s">
        <v>183</v>
      </c>
      <c r="E7" s="40"/>
      <c r="F7" s="40"/>
      <c r="G7" s="41"/>
      <c r="H7" s="20"/>
      <c r="I7" s="20"/>
      <c r="J7" s="20"/>
      <c r="K7" s="20"/>
      <c r="M7" s="17"/>
      <c r="N7" s="18"/>
    </row>
    <row r="8" spans="1:20" s="19" customFormat="1" ht="27" customHeight="1">
      <c r="B8" s="19" t="s">
        <v>11</v>
      </c>
      <c r="E8" s="42">
        <v>3</v>
      </c>
      <c r="F8" s="15"/>
      <c r="G8" s="20"/>
      <c r="H8" s="20"/>
      <c r="I8" s="20"/>
      <c r="J8" s="20"/>
      <c r="K8" s="20"/>
      <c r="M8" s="17"/>
      <c r="N8" s="18"/>
    </row>
    <row r="9" spans="1:20" s="19" customFormat="1" ht="18" customHeight="1">
      <c r="B9" s="19" t="s">
        <v>184</v>
      </c>
      <c r="E9" s="42">
        <v>2</v>
      </c>
      <c r="F9" s="43"/>
      <c r="G9" s="20"/>
      <c r="H9" s="20"/>
      <c r="I9" s="20"/>
      <c r="J9" s="20"/>
      <c r="K9" s="20"/>
      <c r="M9" s="17"/>
      <c r="N9" s="44"/>
      <c r="O9" s="45"/>
    </row>
    <row r="10" spans="1:20" s="19" customFormat="1" ht="18" customHeight="1">
      <c r="E10" s="42"/>
      <c r="F10" s="43"/>
      <c r="G10" s="46"/>
      <c r="H10" s="20"/>
      <c r="I10" s="20"/>
      <c r="J10" s="20"/>
      <c r="K10" s="20"/>
      <c r="M10" s="17"/>
      <c r="N10" s="18"/>
    </row>
    <row r="11" spans="1:20" s="19" customFormat="1" ht="18" customHeight="1">
      <c r="B11" s="19" t="s">
        <v>15</v>
      </c>
      <c r="E11" s="47">
        <f>G13</f>
        <v>36</v>
      </c>
      <c r="F11" s="43"/>
      <c r="G11" s="20"/>
      <c r="H11" s="20"/>
      <c r="I11" s="20"/>
      <c r="J11" s="20"/>
      <c r="K11" s="20"/>
      <c r="M11" s="17"/>
      <c r="N11" s="18"/>
    </row>
    <row r="12" spans="1:20" s="19" customFormat="1" ht="18" customHeight="1">
      <c r="B12" s="19" t="s">
        <v>177</v>
      </c>
      <c r="E12" s="48">
        <f>E8*E9*E11</f>
        <v>216</v>
      </c>
      <c r="F12" s="43"/>
      <c r="G12" s="20"/>
      <c r="H12" s="20"/>
      <c r="I12" s="20"/>
      <c r="J12" s="20"/>
      <c r="K12" s="20"/>
      <c r="M12" s="17"/>
      <c r="N12" s="18"/>
    </row>
    <row r="13" spans="1:20" s="19" customFormat="1" ht="18" customHeight="1">
      <c r="B13" s="19" t="s">
        <v>17</v>
      </c>
      <c r="E13" s="42">
        <f>E9*E11</f>
        <v>72</v>
      </c>
      <c r="G13" s="49">
        <f>H13+I13+J13+K13</f>
        <v>36</v>
      </c>
      <c r="H13" s="49">
        <v>4</v>
      </c>
      <c r="I13" s="49">
        <v>12</v>
      </c>
      <c r="J13" s="49">
        <v>12</v>
      </c>
      <c r="K13" s="49">
        <v>8</v>
      </c>
      <c r="M13" s="17"/>
      <c r="N13" s="18"/>
    </row>
    <row r="14" spans="1:20" s="19" customFormat="1" ht="18" customHeight="1">
      <c r="B14" s="19" t="s">
        <v>20</v>
      </c>
      <c r="E14" s="42">
        <v>400</v>
      </c>
      <c r="F14" s="43"/>
      <c r="G14" s="51"/>
      <c r="H14" s="51"/>
      <c r="I14" s="51"/>
      <c r="J14" s="51"/>
      <c r="K14" s="51"/>
      <c r="M14" s="17"/>
      <c r="N14" s="18"/>
    </row>
    <row r="15" spans="1:20" s="19" customFormat="1" ht="21" customHeight="1">
      <c r="B15" s="19" t="s">
        <v>21</v>
      </c>
      <c r="E15" s="42">
        <f>E9*E11*E14</f>
        <v>28800</v>
      </c>
      <c r="F15" s="19" t="s">
        <v>19</v>
      </c>
      <c r="G15" s="51"/>
      <c r="H15" s="51"/>
      <c r="I15" s="51"/>
      <c r="J15" s="51"/>
      <c r="K15" s="51"/>
      <c r="M15" s="17"/>
      <c r="N15" s="18"/>
    </row>
    <row r="16" spans="1:20" s="19" customFormat="1" ht="18" customHeight="1">
      <c r="A16" s="52"/>
      <c r="B16" s="52" t="s">
        <v>22</v>
      </c>
      <c r="C16" s="53"/>
      <c r="D16" s="53"/>
      <c r="E16" s="54">
        <f>E15*E8</f>
        <v>86400</v>
      </c>
      <c r="F16" s="53"/>
      <c r="G16" s="51"/>
      <c r="H16" s="51"/>
      <c r="I16" s="51"/>
      <c r="J16" s="51"/>
      <c r="K16" s="51"/>
      <c r="L16" s="19" t="s">
        <v>23</v>
      </c>
      <c r="M16" s="17"/>
      <c r="N16" s="18"/>
    </row>
    <row r="17" spans="1:24" s="19" customFormat="1" ht="18" customHeight="1">
      <c r="A17" s="52"/>
      <c r="B17" s="52"/>
      <c r="C17" s="53"/>
      <c r="D17" s="53"/>
      <c r="E17" s="55"/>
      <c r="F17" s="53"/>
      <c r="G17" s="51"/>
      <c r="H17" s="51"/>
      <c r="I17" s="51"/>
      <c r="J17" s="51"/>
      <c r="K17" s="51"/>
      <c r="M17" s="17"/>
      <c r="N17" s="18"/>
    </row>
    <row r="18" spans="1:24" s="19" customFormat="1" ht="18" customHeight="1">
      <c r="A18" s="52"/>
      <c r="B18" s="56" t="s">
        <v>24</v>
      </c>
      <c r="C18" s="57"/>
      <c r="D18" s="57"/>
      <c r="E18" s="57"/>
      <c r="F18" s="57"/>
      <c r="G18" s="58"/>
      <c r="H18" s="12">
        <v>2024</v>
      </c>
      <c r="I18" s="12"/>
      <c r="J18" s="11">
        <v>2025</v>
      </c>
      <c r="K18" s="11"/>
      <c r="L18" s="61" t="s">
        <v>25</v>
      </c>
      <c r="M18" s="17"/>
      <c r="N18" s="10" t="s">
        <v>26</v>
      </c>
      <c r="P18" s="62"/>
      <c r="Q18" s="63"/>
      <c r="R18" s="64"/>
      <c r="S18" s="64"/>
      <c r="T18" s="63"/>
      <c r="U18" s="63"/>
      <c r="V18" s="63"/>
      <c r="W18" s="63"/>
    </row>
    <row r="19" spans="1:24" s="19" customFormat="1" ht="18" customHeight="1">
      <c r="A19" s="52"/>
      <c r="B19" s="65"/>
      <c r="C19" s="66" t="s">
        <v>27</v>
      </c>
      <c r="D19" s="52"/>
      <c r="E19" s="52"/>
      <c r="F19" s="52"/>
      <c r="G19" s="67"/>
      <c r="H19" s="49" t="s">
        <v>28</v>
      </c>
      <c r="I19" s="49" t="s">
        <v>29</v>
      </c>
      <c r="J19" s="49" t="s">
        <v>30</v>
      </c>
      <c r="K19" s="49" t="s">
        <v>31</v>
      </c>
      <c r="L19" s="68" t="s">
        <v>32</v>
      </c>
      <c r="M19" s="17"/>
      <c r="N19" s="10"/>
    </row>
    <row r="20" spans="1:24" s="63" customFormat="1" ht="30" customHeight="1">
      <c r="B20" s="69"/>
      <c r="C20" s="70"/>
      <c r="D20" s="70"/>
      <c r="E20" s="70"/>
      <c r="F20" s="70"/>
      <c r="G20" s="71">
        <f>E16</f>
        <v>86400</v>
      </c>
      <c r="H20" s="72">
        <f>E16/G13*H13</f>
        <v>9600</v>
      </c>
      <c r="I20" s="72">
        <f>E16/G13*I13</f>
        <v>28800</v>
      </c>
      <c r="J20" s="72">
        <f>E16/G13*J13</f>
        <v>28800</v>
      </c>
      <c r="K20" s="72">
        <f>E16/G13*K13</f>
        <v>19200</v>
      </c>
      <c r="L20" s="73">
        <f>E14</f>
        <v>400</v>
      </c>
      <c r="M20" s="74" t="e">
        <f>G20/N9</f>
        <v>#DIV/0!</v>
      </c>
      <c r="N20" s="75">
        <f>G20/G20</f>
        <v>1</v>
      </c>
      <c r="O20" s="32"/>
      <c r="P20" s="19"/>
      <c r="Q20" s="19"/>
      <c r="R20" s="19"/>
      <c r="S20" s="19"/>
      <c r="T20" s="19"/>
      <c r="U20" s="19"/>
      <c r="V20" s="19"/>
      <c r="W20" s="19"/>
    </row>
    <row r="21" spans="1:24" s="19" customFormat="1" ht="24.95" customHeight="1">
      <c r="B21" s="78" t="s">
        <v>33</v>
      </c>
      <c r="C21" s="79"/>
      <c r="D21" s="79"/>
      <c r="E21" s="79"/>
      <c r="F21" s="79"/>
      <c r="G21" s="80">
        <f>+H21+I21+J21+K21</f>
        <v>51840</v>
      </c>
      <c r="H21" s="80">
        <f>H20*0.6</f>
        <v>5760</v>
      </c>
      <c r="I21" s="80">
        <f>I20*0.6</f>
        <v>17280</v>
      </c>
      <c r="J21" s="80">
        <f>J20*0.6</f>
        <v>17280</v>
      </c>
      <c r="K21" s="80">
        <f>K20*0.6</f>
        <v>11520</v>
      </c>
      <c r="L21" s="81"/>
      <c r="M21" s="74">
        <f>G21/8208</f>
        <v>6.3157894736842106</v>
      </c>
      <c r="N21" s="82">
        <f>G21/G20</f>
        <v>0.6</v>
      </c>
      <c r="O21" s="83"/>
      <c r="X21" s="84"/>
    </row>
    <row r="22" spans="1:24" s="19" customFormat="1" ht="17.25" customHeight="1">
      <c r="B22" s="85"/>
      <c r="C22" s="86"/>
      <c r="D22" s="86"/>
      <c r="E22" s="86"/>
      <c r="F22" s="87"/>
      <c r="G22" s="49"/>
      <c r="H22" s="58">
        <v>0</v>
      </c>
      <c r="I22" s="58"/>
      <c r="J22" s="58"/>
      <c r="K22" s="58"/>
      <c r="L22" s="88" t="e">
        <f>M22</f>
        <v>#DIV/0!</v>
      </c>
      <c r="M22" s="74" t="e">
        <f>G22/N9</f>
        <v>#DIV/0!</v>
      </c>
      <c r="N22" s="82"/>
      <c r="P22" s="89" t="s">
        <v>34</v>
      </c>
      <c r="Q22" s="90"/>
      <c r="R22" s="90"/>
      <c r="S22" s="90"/>
      <c r="T22" s="91"/>
      <c r="U22" s="52"/>
      <c r="V22" s="52"/>
    </row>
    <row r="23" spans="1:24" s="19" customFormat="1" ht="17.25" customHeight="1">
      <c r="A23" s="19" t="s">
        <v>35</v>
      </c>
      <c r="B23" s="92" t="s">
        <v>36</v>
      </c>
      <c r="C23" s="93"/>
      <c r="D23" s="93"/>
      <c r="E23" s="93"/>
      <c r="F23" s="93"/>
      <c r="G23" s="49">
        <f t="shared" ref="G23:G33" si="0">SUM(H23:K23)</f>
        <v>39815.66820276498</v>
      </c>
      <c r="H23" s="49">
        <f>H21/1.302</f>
        <v>4423.9631336405528</v>
      </c>
      <c r="I23" s="49">
        <f>I21/1.302</f>
        <v>13271.889400921658</v>
      </c>
      <c r="J23" s="49">
        <f>J21/1.302</f>
        <v>13271.889400921658</v>
      </c>
      <c r="K23" s="49">
        <f>K21/1.302</f>
        <v>8847.9262672811055</v>
      </c>
      <c r="L23" s="94" t="e">
        <f>M23</f>
        <v>#DIV/0!</v>
      </c>
      <c r="M23" s="74" t="e">
        <f>G23/N9</f>
        <v>#DIV/0!</v>
      </c>
      <c r="N23" s="82"/>
      <c r="P23" s="95" t="s">
        <v>37</v>
      </c>
      <c r="Q23" s="96">
        <f>E14*0.546/1.302/1.1357/1.3</f>
        <v>113.61473810382682</v>
      </c>
      <c r="R23" s="97" t="s">
        <v>38</v>
      </c>
      <c r="S23" s="97"/>
      <c r="T23" s="98" t="s">
        <v>39</v>
      </c>
      <c r="U23" s="97"/>
      <c r="V23" s="97"/>
      <c r="X23" s="84"/>
    </row>
    <row r="24" spans="1:24" s="19" customFormat="1" ht="17.25" hidden="1" customHeight="1">
      <c r="A24" s="32" t="s">
        <v>40</v>
      </c>
      <c r="B24" s="99" t="s">
        <v>41</v>
      </c>
      <c r="C24" s="99"/>
      <c r="D24" s="93"/>
      <c r="E24" s="93"/>
      <c r="F24" s="93"/>
      <c r="G24" s="49">
        <f t="shared" si="0"/>
        <v>0</v>
      </c>
      <c r="H24" s="49"/>
      <c r="I24" s="49"/>
      <c r="J24" s="49"/>
      <c r="K24" s="49"/>
      <c r="L24" s="100"/>
      <c r="M24" s="74">
        <f>G24/5760</f>
        <v>0</v>
      </c>
      <c r="N24" s="82"/>
      <c r="P24" s="101"/>
      <c r="Q24" s="52"/>
      <c r="R24" s="52"/>
      <c r="S24" s="52"/>
      <c r="T24" s="102"/>
      <c r="U24" s="52"/>
      <c r="V24" s="52"/>
    </row>
    <row r="25" spans="1:24" s="19" customFormat="1" ht="17.25" customHeight="1">
      <c r="A25" s="32" t="s">
        <v>40</v>
      </c>
      <c r="B25" s="103" t="s">
        <v>42</v>
      </c>
      <c r="C25" s="104"/>
      <c r="D25" s="105"/>
      <c r="E25" s="105"/>
      <c r="F25" s="105"/>
      <c r="G25" s="49">
        <f t="shared" si="0"/>
        <v>12024.331797235025</v>
      </c>
      <c r="H25" s="49">
        <f>H21-H23</f>
        <v>1336.0368663594472</v>
      </c>
      <c r="I25" s="49">
        <f>I21-I23</f>
        <v>4008.1105990783417</v>
      </c>
      <c r="J25" s="49">
        <f>J21-J23</f>
        <v>4008.1105990783417</v>
      </c>
      <c r="K25" s="49">
        <f>K21-K23</f>
        <v>2672.0737327188945</v>
      </c>
      <c r="L25" s="106" t="e">
        <f>M25</f>
        <v>#DIV/0!</v>
      </c>
      <c r="M25" s="74" t="e">
        <f t="shared" ref="M25:M33" si="1">G25/$N$9</f>
        <v>#DIV/0!</v>
      </c>
      <c r="N25" s="82"/>
      <c r="P25" s="107" t="s">
        <v>43</v>
      </c>
      <c r="Q25" s="108">
        <f>E14*0.054/1.302/1.1357/1.3</f>
        <v>11.236622449829028</v>
      </c>
      <c r="R25" s="109" t="s">
        <v>38</v>
      </c>
      <c r="S25" s="109"/>
      <c r="T25" s="110" t="s">
        <v>44</v>
      </c>
      <c r="U25" s="52"/>
      <c r="V25" s="52"/>
    </row>
    <row r="26" spans="1:24" s="19" customFormat="1" ht="24.95" customHeight="1">
      <c r="B26" s="111" t="s">
        <v>45</v>
      </c>
      <c r="C26" s="112"/>
      <c r="D26" s="112"/>
      <c r="E26" s="112"/>
      <c r="F26" s="112"/>
      <c r="G26" s="113">
        <f t="shared" si="0"/>
        <v>14083.199999999999</v>
      </c>
      <c r="H26" s="80">
        <f>H27+H28+H29+H42+H43+H48</f>
        <v>1564.8</v>
      </c>
      <c r="I26" s="80">
        <f>I27+I28+I29+I42+I43+I48</f>
        <v>4694.3999999999996</v>
      </c>
      <c r="J26" s="80">
        <f>J27+J28+J29+J42+J43+J48</f>
        <v>4694.3999999999996</v>
      </c>
      <c r="K26" s="80">
        <f>K27+K28+K29+K42+K43+K48</f>
        <v>3129.6</v>
      </c>
      <c r="L26" s="114" t="e">
        <f>L27+L28+L29+L42+L43+L48</f>
        <v>#DIV/0!</v>
      </c>
      <c r="M26" s="74" t="e">
        <f t="shared" si="1"/>
        <v>#DIV/0!</v>
      </c>
      <c r="N26" s="82"/>
      <c r="P26" s="17"/>
    </row>
    <row r="27" spans="1:24" s="115" customFormat="1" ht="17.25" hidden="1" customHeight="1">
      <c r="B27" s="116" t="s">
        <v>46</v>
      </c>
      <c r="C27" s="117"/>
      <c r="D27" s="117"/>
      <c r="E27" s="117"/>
      <c r="F27" s="117"/>
      <c r="G27" s="49">
        <f t="shared" si="0"/>
        <v>0</v>
      </c>
      <c r="H27" s="49"/>
      <c r="I27" s="49"/>
      <c r="J27" s="49"/>
      <c r="K27" s="118"/>
      <c r="L27" s="119">
        <f>(H27/3*$L$20)/($H$20/3)</f>
        <v>0</v>
      </c>
      <c r="M27" s="74" t="e">
        <f t="shared" si="1"/>
        <v>#DIV/0!</v>
      </c>
      <c r="N27" s="82"/>
      <c r="O27" s="32"/>
    </row>
    <row r="28" spans="1:24" s="115" customFormat="1" ht="17.25" hidden="1" customHeight="1">
      <c r="B28" s="116" t="s">
        <v>47</v>
      </c>
      <c r="C28" s="117"/>
      <c r="D28" s="117"/>
      <c r="E28" s="117"/>
      <c r="F28" s="117"/>
      <c r="G28" s="49">
        <f t="shared" si="0"/>
        <v>0</v>
      </c>
      <c r="H28" s="49"/>
      <c r="I28" s="49"/>
      <c r="J28" s="49"/>
      <c r="K28" s="49"/>
      <c r="L28" s="119"/>
      <c r="M28" s="74" t="e">
        <f t="shared" si="1"/>
        <v>#DIV/0!</v>
      </c>
      <c r="N28" s="82"/>
      <c r="O28" s="32"/>
    </row>
    <row r="29" spans="1:24" s="115" customFormat="1" ht="17.25" customHeight="1">
      <c r="B29" s="120" t="s">
        <v>48</v>
      </c>
      <c r="C29" s="121"/>
      <c r="D29" s="121"/>
      <c r="E29" s="121"/>
      <c r="F29" s="121"/>
      <c r="G29" s="59">
        <f t="shared" si="0"/>
        <v>8640</v>
      </c>
      <c r="H29" s="49">
        <f>H30+H33+H37</f>
        <v>960</v>
      </c>
      <c r="I29" s="49">
        <f>I30+I33+I37</f>
        <v>2880</v>
      </c>
      <c r="J29" s="49">
        <f>SUM(J30:J37)</f>
        <v>2880</v>
      </c>
      <c r="K29" s="49">
        <f>SUM(K30:K37)</f>
        <v>1920</v>
      </c>
      <c r="L29" s="106" t="e">
        <f>L30+L33+L37</f>
        <v>#DIV/0!</v>
      </c>
      <c r="M29" s="74" t="e">
        <f t="shared" si="1"/>
        <v>#DIV/0!</v>
      </c>
      <c r="N29" s="82">
        <f>G29/G20</f>
        <v>0.1</v>
      </c>
      <c r="O29" s="32"/>
    </row>
    <row r="30" spans="1:24" s="122" customFormat="1" ht="17.25" customHeight="1">
      <c r="B30" s="99" t="s">
        <v>49</v>
      </c>
      <c r="C30" s="93"/>
      <c r="D30" s="93"/>
      <c r="E30" s="123">
        <v>6.5000000000000002E-2</v>
      </c>
      <c r="F30" s="124"/>
      <c r="G30" s="125">
        <f t="shared" si="0"/>
        <v>5616</v>
      </c>
      <c r="H30" s="126">
        <f>+H20*6.5%</f>
        <v>624</v>
      </c>
      <c r="I30" s="126">
        <f>+I20*6.5%</f>
        <v>1872</v>
      </c>
      <c r="J30" s="126">
        <f>+J20*6.5%</f>
        <v>1872</v>
      </c>
      <c r="K30" s="126">
        <f>+K20*6.5%</f>
        <v>1248</v>
      </c>
      <c r="L30" s="94" t="e">
        <f>M30</f>
        <v>#DIV/0!</v>
      </c>
      <c r="M30" s="74" t="e">
        <f t="shared" si="1"/>
        <v>#DIV/0!</v>
      </c>
      <c r="N30" s="82"/>
      <c r="O30" s="19"/>
    </row>
    <row r="31" spans="1:24" s="128" customFormat="1" ht="17.25" hidden="1" customHeight="1">
      <c r="B31" s="129" t="s">
        <v>50</v>
      </c>
      <c r="C31" s="130"/>
      <c r="D31" s="130" t="s">
        <v>51</v>
      </c>
      <c r="E31" s="131"/>
      <c r="F31" s="130" t="s">
        <v>52</v>
      </c>
      <c r="G31" s="132">
        <f t="shared" si="0"/>
        <v>0</v>
      </c>
      <c r="H31" s="133"/>
      <c r="I31" s="133"/>
      <c r="J31" s="133"/>
      <c r="K31" s="133"/>
      <c r="L31" s="94">
        <f>(H31/3*$L$20)/($H$20/3)</f>
        <v>0</v>
      </c>
      <c r="M31" s="74" t="e">
        <f t="shared" si="1"/>
        <v>#DIV/0!</v>
      </c>
      <c r="N31" s="149"/>
      <c r="O31" s="134"/>
    </row>
    <row r="32" spans="1:24" s="128" customFormat="1" ht="17.25" hidden="1" customHeight="1">
      <c r="B32" s="135" t="s">
        <v>53</v>
      </c>
      <c r="C32" s="136">
        <f>C31</f>
        <v>0</v>
      </c>
      <c r="D32" s="136" t="s">
        <v>54</v>
      </c>
      <c r="E32" s="137"/>
      <c r="F32" s="136"/>
      <c r="G32" s="138">
        <f t="shared" si="0"/>
        <v>0</v>
      </c>
      <c r="H32" s="133"/>
      <c r="I32" s="133"/>
      <c r="J32" s="133"/>
      <c r="K32" s="133"/>
      <c r="L32" s="94">
        <f>(H32/3*$L$20)/($H$20/3)</f>
        <v>0</v>
      </c>
      <c r="M32" s="74" t="e">
        <f t="shared" si="1"/>
        <v>#DIV/0!</v>
      </c>
      <c r="N32" s="149"/>
      <c r="O32" s="134"/>
    </row>
    <row r="33" spans="2:16" s="122" customFormat="1" ht="17.25" customHeight="1">
      <c r="B33" s="99" t="s">
        <v>55</v>
      </c>
      <c r="C33" s="93"/>
      <c r="D33" s="93"/>
      <c r="E33" s="123">
        <v>2.1000000000000001E-2</v>
      </c>
      <c r="F33" s="124"/>
      <c r="G33" s="125">
        <f t="shared" si="0"/>
        <v>1814.4000000000003</v>
      </c>
      <c r="H33" s="126">
        <f>+H20*2.1%</f>
        <v>201.60000000000002</v>
      </c>
      <c r="I33" s="126">
        <f>+I20*2.1%</f>
        <v>604.80000000000007</v>
      </c>
      <c r="J33" s="126">
        <f>+J20*2.1%</f>
        <v>604.80000000000007</v>
      </c>
      <c r="K33" s="126">
        <f>+K20*2.1%</f>
        <v>403.20000000000005</v>
      </c>
      <c r="L33" s="94" t="e">
        <f>M33</f>
        <v>#DIV/0!</v>
      </c>
      <c r="M33" s="74" t="e">
        <f t="shared" si="1"/>
        <v>#DIV/0!</v>
      </c>
      <c r="N33" s="18"/>
      <c r="O33" s="19"/>
    </row>
    <row r="34" spans="2:16" s="128" customFormat="1" ht="15.75" hidden="1" customHeight="1">
      <c r="B34" s="139"/>
      <c r="C34" s="130"/>
      <c r="D34" s="130">
        <f>1.44*24*3</f>
        <v>103.68</v>
      </c>
      <c r="E34" s="131" t="s">
        <v>56</v>
      </c>
      <c r="F34" s="140"/>
      <c r="G34" s="141"/>
      <c r="H34" s="133"/>
      <c r="I34" s="133"/>
      <c r="J34" s="133"/>
      <c r="K34" s="133"/>
      <c r="L34" s="94">
        <f>(H34/3*$L$20)/($H$20/3)</f>
        <v>0</v>
      </c>
      <c r="M34" s="74" t="e">
        <f>F34/$N$9</f>
        <v>#DIV/0!</v>
      </c>
      <c r="N34" s="149"/>
      <c r="O34" s="134"/>
      <c r="P34" s="128">
        <v>224</v>
      </c>
    </row>
    <row r="35" spans="2:16" s="128" customFormat="1" ht="15.75" hidden="1" customHeight="1">
      <c r="B35" s="130" t="s">
        <v>57</v>
      </c>
      <c r="C35" s="134"/>
      <c r="D35" s="130"/>
      <c r="E35" s="131"/>
      <c r="F35" s="130"/>
      <c r="G35" s="142"/>
      <c r="H35" s="133"/>
      <c r="I35" s="133"/>
      <c r="J35" s="133"/>
      <c r="K35" s="133"/>
      <c r="L35" s="94">
        <f>(H35/3*$L$20)/($H$20/3)</f>
        <v>0</v>
      </c>
      <c r="M35" s="74" t="e">
        <f t="shared" ref="M35:M61" si="2">G35/$N$9</f>
        <v>#DIV/0!</v>
      </c>
      <c r="N35" s="149"/>
      <c r="O35" s="134"/>
    </row>
    <row r="36" spans="2:16" s="128" customFormat="1" ht="15.75" hidden="1" customHeight="1">
      <c r="B36" s="143"/>
      <c r="C36" s="130" t="s">
        <v>58</v>
      </c>
      <c r="D36" s="130"/>
      <c r="E36" s="131"/>
      <c r="F36" s="143"/>
      <c r="G36" s="142" t="s">
        <v>59</v>
      </c>
      <c r="H36" s="133"/>
      <c r="I36" s="133"/>
      <c r="J36" s="133"/>
      <c r="K36" s="133"/>
      <c r="L36" s="94">
        <f>(H36/3*$L$20)/($H$20/3)</f>
        <v>0</v>
      </c>
      <c r="M36" s="74" t="e">
        <f t="shared" si="2"/>
        <v>#VALUE!</v>
      </c>
      <c r="N36" s="149"/>
      <c r="O36" s="134"/>
    </row>
    <row r="37" spans="2:16" s="122" customFormat="1" ht="17.25" customHeight="1">
      <c r="B37" s="144" t="s">
        <v>60</v>
      </c>
      <c r="C37" s="93"/>
      <c r="D37" s="93"/>
      <c r="E37" s="123">
        <v>1.4E-2</v>
      </c>
      <c r="F37" s="145"/>
      <c r="G37" s="125">
        <f>SUM(H37:K37)</f>
        <v>1209.5999999999999</v>
      </c>
      <c r="H37" s="126">
        <f>+H20*1.4%</f>
        <v>134.39999999999998</v>
      </c>
      <c r="I37" s="126">
        <f>+I20*1.4%</f>
        <v>403.19999999999993</v>
      </c>
      <c r="J37" s="126">
        <f>+J20*1.4%</f>
        <v>403.19999999999993</v>
      </c>
      <c r="K37" s="126">
        <f>+K20*1.4%</f>
        <v>268.79999999999995</v>
      </c>
      <c r="L37" s="94" t="e">
        <f>M37</f>
        <v>#DIV/0!</v>
      </c>
      <c r="M37" s="74" t="e">
        <f t="shared" si="2"/>
        <v>#DIV/0!</v>
      </c>
      <c r="N37" s="18"/>
      <c r="O37" s="19"/>
    </row>
    <row r="38" spans="2:16" s="128" customFormat="1" ht="18.75" hidden="1" customHeight="1">
      <c r="B38" s="139" t="s">
        <v>61</v>
      </c>
      <c r="C38" s="130"/>
      <c r="D38" s="130">
        <f>50</f>
        <v>50</v>
      </c>
      <c r="E38" s="130" t="s">
        <v>62</v>
      </c>
      <c r="F38" s="134"/>
      <c r="G38" s="146"/>
      <c r="H38" s="147"/>
      <c r="I38" s="147"/>
      <c r="J38" s="147"/>
      <c r="K38" s="147"/>
      <c r="L38" s="148"/>
      <c r="M38" s="74" t="e">
        <f t="shared" si="2"/>
        <v>#DIV/0!</v>
      </c>
      <c r="N38" s="149"/>
      <c r="O38" s="134"/>
      <c r="P38" s="128">
        <v>224</v>
      </c>
    </row>
    <row r="39" spans="2:16" s="128" customFormat="1" ht="18.75" hidden="1" customHeight="1">
      <c r="B39" s="139" t="s">
        <v>63</v>
      </c>
      <c r="C39" s="130"/>
      <c r="D39" s="130">
        <f>50</f>
        <v>50</v>
      </c>
      <c r="E39" s="130" t="s">
        <v>62</v>
      </c>
      <c r="F39" s="134"/>
      <c r="G39" s="146"/>
      <c r="H39" s="147"/>
      <c r="I39" s="147"/>
      <c r="J39" s="147"/>
      <c r="K39" s="147">
        <f>H39</f>
        <v>0</v>
      </c>
      <c r="L39" s="148"/>
      <c r="M39" s="74" t="e">
        <f t="shared" si="2"/>
        <v>#DIV/0!</v>
      </c>
      <c r="N39" s="149"/>
      <c r="O39" s="134"/>
      <c r="P39" s="128">
        <v>224</v>
      </c>
    </row>
    <row r="40" spans="2:16" s="122" customFormat="1" ht="11.25" hidden="1" customHeight="1">
      <c r="B40" s="150"/>
      <c r="C40" s="52"/>
      <c r="D40" s="52"/>
      <c r="E40" s="52"/>
      <c r="F40" s="52"/>
      <c r="G40" s="50"/>
      <c r="H40" s="50"/>
      <c r="I40" s="67"/>
      <c r="J40" s="151"/>
      <c r="K40" s="151"/>
      <c r="L40" s="148"/>
      <c r="M40" s="74" t="e">
        <f t="shared" si="2"/>
        <v>#DIV/0!</v>
      </c>
      <c r="N40" s="18"/>
      <c r="O40" s="19"/>
    </row>
    <row r="41" spans="2:16" s="115" customFormat="1" ht="18.75" hidden="1" customHeight="1">
      <c r="B41" s="116" t="s">
        <v>64</v>
      </c>
      <c r="C41" s="117"/>
      <c r="D41" s="117"/>
      <c r="E41" s="117"/>
      <c r="F41" s="117"/>
      <c r="G41" s="59"/>
      <c r="H41" s="152"/>
      <c r="I41" s="152"/>
      <c r="J41" s="152"/>
      <c r="K41" s="153"/>
      <c r="L41" s="154"/>
      <c r="M41" s="74" t="e">
        <f t="shared" si="2"/>
        <v>#DIV/0!</v>
      </c>
      <c r="N41" s="36"/>
      <c r="O41" s="32"/>
    </row>
    <row r="42" spans="2:16" s="115" customFormat="1" ht="20.25" hidden="1" customHeight="1">
      <c r="B42" s="155"/>
      <c r="C42" s="156"/>
      <c r="D42" s="156"/>
      <c r="E42" s="156"/>
      <c r="F42" s="156"/>
      <c r="G42" s="49">
        <f t="shared" ref="G42:G52" si="3">SUM(H42:K42)</f>
        <v>0</v>
      </c>
      <c r="H42" s="157"/>
      <c r="I42" s="157"/>
      <c r="J42" s="157"/>
      <c r="K42" s="157"/>
      <c r="L42" s="119">
        <f>(H42/3*$L$20)/($H$20/3)</f>
        <v>0</v>
      </c>
      <c r="M42" s="74" t="e">
        <f t="shared" si="2"/>
        <v>#DIV/0!</v>
      </c>
      <c r="N42" s="36"/>
      <c r="O42" s="32"/>
    </row>
    <row r="43" spans="2:16" s="115" customFormat="1" ht="21" hidden="1" customHeight="1">
      <c r="B43" s="158" t="s">
        <v>65</v>
      </c>
      <c r="C43" s="159"/>
      <c r="D43" s="159"/>
      <c r="E43" s="159"/>
      <c r="F43" s="159"/>
      <c r="G43" s="49">
        <f t="shared" si="3"/>
        <v>0</v>
      </c>
      <c r="H43" s="152">
        <f>H44+H46+H47</f>
        <v>0</v>
      </c>
      <c r="I43" s="152">
        <f>I44+I46+I47</f>
        <v>0</v>
      </c>
      <c r="J43" s="152">
        <f>J44+J46+J47</f>
        <v>0</v>
      </c>
      <c r="K43" s="152">
        <f>K44+K46+K47</f>
        <v>0</v>
      </c>
      <c r="L43" s="100" t="e">
        <f>L44+L46+L47</f>
        <v>#DIV/0!</v>
      </c>
      <c r="M43" s="74" t="e">
        <f t="shared" si="2"/>
        <v>#DIV/0!</v>
      </c>
      <c r="N43" s="36"/>
      <c r="O43" s="32"/>
    </row>
    <row r="44" spans="2:16" s="160" customFormat="1" ht="15" hidden="1" customHeight="1">
      <c r="B44" s="144" t="s">
        <v>66</v>
      </c>
      <c r="C44" s="161"/>
      <c r="D44" s="161"/>
      <c r="E44" s="161"/>
      <c r="F44" s="145"/>
      <c r="G44" s="49">
        <f t="shared" si="3"/>
        <v>0</v>
      </c>
      <c r="H44" s="49"/>
      <c r="I44" s="49"/>
      <c r="J44" s="49"/>
      <c r="K44" s="49"/>
      <c r="L44" s="162">
        <f>(H44/3*$L$20)/($H$20/3)</f>
        <v>0</v>
      </c>
      <c r="M44" s="74" t="e">
        <f t="shared" si="2"/>
        <v>#DIV/0!</v>
      </c>
      <c r="N44" s="36"/>
      <c r="O44" s="32"/>
    </row>
    <row r="45" spans="2:16" s="128" customFormat="1" ht="15" hidden="1" customHeight="1">
      <c r="B45" s="139" t="s">
        <v>67</v>
      </c>
      <c r="C45" s="130"/>
      <c r="D45" s="130"/>
      <c r="E45" s="130"/>
      <c r="F45" s="130" t="s">
        <v>68</v>
      </c>
      <c r="G45" s="49">
        <f t="shared" si="3"/>
        <v>0</v>
      </c>
      <c r="H45" s="147">
        <f>ROUND(E45*0.976*1.18,1)</f>
        <v>0</v>
      </c>
      <c r="I45" s="147">
        <f>ROUND(E45*0.976*1.18,1)</f>
        <v>0</v>
      </c>
      <c r="J45" s="147">
        <f>ROUND(E45*0.976*1.18,1)</f>
        <v>0</v>
      </c>
      <c r="K45" s="147">
        <f>ROUND(E45*0.976*1.18,1)</f>
        <v>0</v>
      </c>
      <c r="L45" s="163">
        <f>(H45/3*$L$20)/($H$20/3)</f>
        <v>0</v>
      </c>
      <c r="M45" s="74" t="e">
        <f t="shared" si="2"/>
        <v>#DIV/0!</v>
      </c>
      <c r="N45" s="149"/>
      <c r="O45" s="134"/>
    </row>
    <row r="46" spans="2:16" s="122" customFormat="1" ht="15" hidden="1" customHeight="1">
      <c r="B46" s="99" t="s">
        <v>69</v>
      </c>
      <c r="C46" s="93"/>
      <c r="D46" s="93"/>
      <c r="E46" s="93"/>
      <c r="F46" s="124"/>
      <c r="G46" s="49">
        <f t="shared" si="3"/>
        <v>0</v>
      </c>
      <c r="H46" s="49"/>
      <c r="I46" s="49"/>
      <c r="J46" s="49"/>
      <c r="K46" s="49"/>
      <c r="L46" s="119" t="e">
        <f>M46</f>
        <v>#DIV/0!</v>
      </c>
      <c r="M46" s="74" t="e">
        <f t="shared" si="2"/>
        <v>#DIV/0!</v>
      </c>
      <c r="N46" s="18"/>
      <c r="O46" s="19"/>
    </row>
    <row r="47" spans="2:16" s="128" customFormat="1" ht="15" hidden="1" customHeight="1">
      <c r="B47" s="99" t="s">
        <v>70</v>
      </c>
      <c r="C47" s="164"/>
      <c r="D47" s="164"/>
      <c r="E47" s="164"/>
      <c r="F47" s="164"/>
      <c r="G47" s="49">
        <f t="shared" si="3"/>
        <v>0</v>
      </c>
      <c r="H47" s="49"/>
      <c r="I47" s="49"/>
      <c r="J47" s="49"/>
      <c r="K47" s="49"/>
      <c r="L47" s="165" t="e">
        <f>M47</f>
        <v>#DIV/0!</v>
      </c>
      <c r="M47" s="74" t="e">
        <f t="shared" si="2"/>
        <v>#DIV/0!</v>
      </c>
      <c r="N47" s="149"/>
      <c r="O47" s="134"/>
    </row>
    <row r="48" spans="2:16" s="115" customFormat="1" ht="18" customHeight="1">
      <c r="B48" s="120" t="s">
        <v>71</v>
      </c>
      <c r="C48" s="121"/>
      <c r="D48" s="121"/>
      <c r="E48" s="121"/>
      <c r="F48" s="121"/>
      <c r="G48" s="49">
        <f t="shared" si="3"/>
        <v>5443.2000000000007</v>
      </c>
      <c r="H48" s="49">
        <f>SUM(H49:H52)</f>
        <v>604.79999999999995</v>
      </c>
      <c r="I48" s="49">
        <f>SUM(I49:I52)</f>
        <v>1814.4</v>
      </c>
      <c r="J48" s="49">
        <f>SUM(J49:J52)</f>
        <v>1814.4</v>
      </c>
      <c r="K48" s="49">
        <f>SUM(K49:K52)</f>
        <v>1209.5999999999999</v>
      </c>
      <c r="L48" s="119" t="e">
        <f>L49+L50+L51</f>
        <v>#DIV/0!</v>
      </c>
      <c r="M48" s="74" t="e">
        <f t="shared" si="2"/>
        <v>#DIV/0!</v>
      </c>
      <c r="N48" s="36"/>
      <c r="O48" s="32"/>
    </row>
    <row r="49" spans="1:15" s="122" customFormat="1" ht="32.25" customHeight="1">
      <c r="B49" s="9" t="s">
        <v>72</v>
      </c>
      <c r="C49" s="9"/>
      <c r="D49" s="9"/>
      <c r="E49" s="167">
        <v>0.05</v>
      </c>
      <c r="F49" s="93"/>
      <c r="G49" s="49">
        <f t="shared" si="3"/>
        <v>4320</v>
      </c>
      <c r="H49" s="49">
        <f>H20*5%</f>
        <v>480</v>
      </c>
      <c r="I49" s="49">
        <f>I20*5%</f>
        <v>1440</v>
      </c>
      <c r="J49" s="49">
        <f>J20*5%</f>
        <v>1440</v>
      </c>
      <c r="K49" s="49">
        <f>K20*5%</f>
        <v>960</v>
      </c>
      <c r="L49" s="165" t="e">
        <f>M49</f>
        <v>#DIV/0!</v>
      </c>
      <c r="M49" s="74" t="e">
        <f t="shared" si="2"/>
        <v>#DIV/0!</v>
      </c>
      <c r="N49" s="82">
        <f>G49/G20</f>
        <v>0.05</v>
      </c>
      <c r="O49" s="19"/>
    </row>
    <row r="50" spans="1:15" s="122" customFormat="1" ht="18.75" customHeight="1">
      <c r="B50" s="99" t="s">
        <v>73</v>
      </c>
      <c r="C50" s="105"/>
      <c r="D50" s="105"/>
      <c r="E50" s="168">
        <v>1.2999999999999999E-2</v>
      </c>
      <c r="F50" s="169"/>
      <c r="G50" s="49">
        <f t="shared" si="3"/>
        <v>1123.2000000000003</v>
      </c>
      <c r="H50" s="49">
        <f>H20*1.3%</f>
        <v>124.80000000000001</v>
      </c>
      <c r="I50" s="49">
        <f>I20*1.3%</f>
        <v>374.40000000000003</v>
      </c>
      <c r="J50" s="49">
        <f>J20*1.3%</f>
        <v>374.40000000000003</v>
      </c>
      <c r="K50" s="49">
        <f>K20*1.3%</f>
        <v>249.60000000000002</v>
      </c>
      <c r="L50" s="100">
        <f>G50/7296</f>
        <v>0.15394736842105267</v>
      </c>
      <c r="M50" s="74" t="e">
        <f t="shared" si="2"/>
        <v>#DIV/0!</v>
      </c>
      <c r="N50" s="82">
        <f>G50/G20</f>
        <v>1.3000000000000003E-2</v>
      </c>
      <c r="O50" s="19"/>
    </row>
    <row r="51" spans="1:15" s="122" customFormat="1" ht="15" hidden="1" customHeight="1">
      <c r="B51" s="99" t="s">
        <v>74</v>
      </c>
      <c r="C51" s="161"/>
      <c r="D51" s="161"/>
      <c r="E51" s="161"/>
      <c r="F51" s="161"/>
      <c r="G51" s="49">
        <f t="shared" si="3"/>
        <v>0</v>
      </c>
      <c r="H51" s="49"/>
      <c r="I51" s="49"/>
      <c r="J51" s="49"/>
      <c r="K51" s="49"/>
      <c r="L51" s="100">
        <f>L52</f>
        <v>0</v>
      </c>
      <c r="M51" s="74" t="e">
        <f t="shared" si="2"/>
        <v>#DIV/0!</v>
      </c>
      <c r="N51" s="18"/>
      <c r="O51" s="19"/>
    </row>
    <row r="52" spans="1:15" s="128" customFormat="1" ht="16.5" hidden="1" customHeight="1">
      <c r="B52" s="170" t="s">
        <v>75</v>
      </c>
      <c r="C52" s="171"/>
      <c r="D52" s="171"/>
      <c r="E52" s="172">
        <v>0.6</v>
      </c>
      <c r="F52" s="171"/>
      <c r="G52" s="49">
        <f t="shared" si="3"/>
        <v>0</v>
      </c>
      <c r="H52" s="49">
        <f>H20*60%-H21</f>
        <v>0</v>
      </c>
      <c r="I52" s="49">
        <f>I20*60%-I21</f>
        <v>0</v>
      </c>
      <c r="J52" s="49">
        <f>J20*60%-J21</f>
        <v>0</v>
      </c>
      <c r="K52" s="49">
        <f>K20*60%-K21</f>
        <v>0</v>
      </c>
      <c r="L52" s="173">
        <f>G52/1440</f>
        <v>0</v>
      </c>
      <c r="M52" s="74" t="e">
        <f t="shared" si="2"/>
        <v>#DIV/0!</v>
      </c>
      <c r="N52" s="149"/>
      <c r="O52" s="134"/>
    </row>
    <row r="53" spans="1:15" s="128" customFormat="1" ht="15" hidden="1" customHeight="1">
      <c r="B53" s="139"/>
      <c r="C53" s="130"/>
      <c r="D53" s="130"/>
      <c r="E53" s="130"/>
      <c r="F53" s="130"/>
      <c r="G53" s="59"/>
      <c r="H53" s="152"/>
      <c r="I53" s="152"/>
      <c r="J53" s="152"/>
      <c r="K53" s="153"/>
      <c r="L53" s="174"/>
      <c r="M53" s="74" t="e">
        <f t="shared" si="2"/>
        <v>#DIV/0!</v>
      </c>
      <c r="N53" s="149"/>
      <c r="O53" s="134"/>
    </row>
    <row r="54" spans="1:15" s="19" customFormat="1" ht="15" hidden="1" customHeight="1">
      <c r="A54" s="52"/>
      <c r="B54" s="175" t="s">
        <v>76</v>
      </c>
      <c r="C54" s="176"/>
      <c r="D54" s="176"/>
      <c r="E54" s="176"/>
      <c r="F54" s="176"/>
      <c r="G54" s="59">
        <f t="shared" ref="G54:L54" si="4">G55+G56</f>
        <v>0</v>
      </c>
      <c r="H54" s="59">
        <f t="shared" si="4"/>
        <v>0</v>
      </c>
      <c r="I54" s="59">
        <f t="shared" si="4"/>
        <v>0</v>
      </c>
      <c r="J54" s="59">
        <f t="shared" si="4"/>
        <v>0</v>
      </c>
      <c r="K54" s="59">
        <f t="shared" si="4"/>
        <v>0</v>
      </c>
      <c r="L54" s="177" t="e">
        <f t="shared" si="4"/>
        <v>#DIV/0!</v>
      </c>
      <c r="M54" s="74" t="e">
        <f t="shared" si="2"/>
        <v>#DIV/0!</v>
      </c>
      <c r="N54" s="18"/>
    </row>
    <row r="55" spans="1:15" s="19" customFormat="1" ht="15" hidden="1" customHeight="1">
      <c r="A55" s="52"/>
      <c r="B55" s="139" t="s">
        <v>77</v>
      </c>
      <c r="C55" s="178"/>
      <c r="D55" s="178"/>
      <c r="E55" s="178"/>
      <c r="F55" s="178"/>
      <c r="G55" s="49"/>
      <c r="H55" s="49"/>
      <c r="I55" s="49"/>
      <c r="J55" s="49"/>
      <c r="K55" s="49"/>
      <c r="L55" s="177" t="e">
        <f>M55</f>
        <v>#DIV/0!</v>
      </c>
      <c r="M55" s="74" t="e">
        <f t="shared" si="2"/>
        <v>#DIV/0!</v>
      </c>
      <c r="N55" s="18"/>
    </row>
    <row r="56" spans="1:15" s="19" customFormat="1" ht="15" hidden="1" customHeight="1">
      <c r="A56" s="52"/>
      <c r="B56" s="155" t="s">
        <v>78</v>
      </c>
      <c r="C56" s="179"/>
      <c r="D56" s="179"/>
      <c r="E56" s="179"/>
      <c r="F56" s="180"/>
      <c r="G56" s="58">
        <f t="shared" ref="G56:G71" si="5">SUM(H56:K56)</f>
        <v>0</v>
      </c>
      <c r="H56" s="58"/>
      <c r="I56" s="181"/>
      <c r="J56" s="58"/>
      <c r="K56" s="182"/>
      <c r="L56" s="174" t="e">
        <f>M56</f>
        <v>#DIV/0!</v>
      </c>
      <c r="M56" s="74" t="e">
        <f t="shared" si="2"/>
        <v>#DIV/0!</v>
      </c>
      <c r="N56" s="18"/>
    </row>
    <row r="57" spans="1:15" s="19" customFormat="1" ht="15" hidden="1" customHeight="1">
      <c r="A57" s="52"/>
      <c r="B57" s="183"/>
      <c r="C57" s="184"/>
      <c r="D57" s="184"/>
      <c r="E57" s="184"/>
      <c r="F57" s="184"/>
      <c r="G57" s="185">
        <f t="shared" si="5"/>
        <v>0</v>
      </c>
      <c r="H57" s="185"/>
      <c r="I57" s="185"/>
      <c r="J57" s="185"/>
      <c r="K57" s="185"/>
      <c r="L57" s="186">
        <f>G57/7296</f>
        <v>0</v>
      </c>
      <c r="M57" s="74" t="e">
        <f t="shared" si="2"/>
        <v>#DIV/0!</v>
      </c>
      <c r="N57" s="18"/>
    </row>
    <row r="58" spans="1:15" s="19" customFormat="1" ht="24.95" customHeight="1">
      <c r="A58" s="52"/>
      <c r="B58" s="187" t="s">
        <v>79</v>
      </c>
      <c r="C58" s="188"/>
      <c r="D58" s="188"/>
      <c r="E58" s="188"/>
      <c r="F58" s="188"/>
      <c r="G58" s="113">
        <f t="shared" si="5"/>
        <v>20476.799999999996</v>
      </c>
      <c r="H58" s="113">
        <f>H65+H59</f>
        <v>2275.1999999999998</v>
      </c>
      <c r="I58" s="113">
        <f>I65+I59</f>
        <v>6825.5999999999995</v>
      </c>
      <c r="J58" s="113">
        <f>J65+J59</f>
        <v>6825.5999999999995</v>
      </c>
      <c r="K58" s="113">
        <f>K65+K59</f>
        <v>4550.3999999999996</v>
      </c>
      <c r="L58" s="189" t="e">
        <f>L65+L59</f>
        <v>#DIV/0!</v>
      </c>
      <c r="M58" s="74" t="e">
        <f t="shared" si="2"/>
        <v>#DIV/0!</v>
      </c>
      <c r="N58" s="82">
        <f>G58/G20</f>
        <v>0.23699999999999996</v>
      </c>
    </row>
    <row r="59" spans="1:15" s="32" customFormat="1" ht="17.25" customHeight="1">
      <c r="B59" s="190" t="s">
        <v>80</v>
      </c>
      <c r="C59" s="117"/>
      <c r="D59" s="117"/>
      <c r="E59" s="117"/>
      <c r="F59" s="117"/>
      <c r="G59" s="191">
        <f t="shared" si="5"/>
        <v>20476.799999999996</v>
      </c>
      <c r="H59" s="191">
        <f>H60</f>
        <v>2275.1999999999998</v>
      </c>
      <c r="I59" s="191">
        <f>I60</f>
        <v>6825.5999999999995</v>
      </c>
      <c r="J59" s="191">
        <f>J60</f>
        <v>6825.5999999999995</v>
      </c>
      <c r="K59" s="191">
        <f>K60</f>
        <v>4550.3999999999996</v>
      </c>
      <c r="L59" s="192" t="e">
        <f>M59</f>
        <v>#DIV/0!</v>
      </c>
      <c r="M59" s="74" t="e">
        <f t="shared" si="2"/>
        <v>#DIV/0!</v>
      </c>
      <c r="N59" s="36"/>
    </row>
    <row r="60" spans="1:15" s="160" customFormat="1" ht="17.25" customHeight="1">
      <c r="B60" s="99" t="s">
        <v>81</v>
      </c>
      <c r="C60" s="93"/>
      <c r="D60" s="93"/>
      <c r="E60" s="93"/>
      <c r="F60" s="93"/>
      <c r="G60" s="49">
        <f t="shared" si="5"/>
        <v>20476.799999999996</v>
      </c>
      <c r="H60" s="49">
        <f>H20*23.7%</f>
        <v>2275.1999999999998</v>
      </c>
      <c r="I60" s="49">
        <f>I20*23.7%</f>
        <v>6825.5999999999995</v>
      </c>
      <c r="J60" s="49">
        <f>J20*23.7%</f>
        <v>6825.5999999999995</v>
      </c>
      <c r="K60" s="49">
        <f>K20*23.7%</f>
        <v>4550.3999999999996</v>
      </c>
      <c r="L60" s="192" t="e">
        <f>G60/$N$9</f>
        <v>#DIV/0!</v>
      </c>
      <c r="M60" s="74" t="e">
        <f t="shared" si="2"/>
        <v>#DIV/0!</v>
      </c>
      <c r="N60" s="36"/>
      <c r="O60" s="32"/>
    </row>
    <row r="61" spans="1:15" s="160" customFormat="1" ht="17.25" hidden="1" customHeight="1">
      <c r="B61" s="99" t="s">
        <v>82</v>
      </c>
      <c r="C61" s="93"/>
      <c r="D61" s="93"/>
      <c r="E61" s="93"/>
      <c r="F61" s="93"/>
      <c r="G61" s="49">
        <f t="shared" si="5"/>
        <v>0</v>
      </c>
      <c r="H61" s="49"/>
      <c r="I61" s="49"/>
      <c r="J61" s="49"/>
      <c r="K61" s="49"/>
      <c r="L61" s="193" t="e">
        <f>G61/$N$9</f>
        <v>#DIV/0!</v>
      </c>
      <c r="M61" s="74" t="e">
        <f t="shared" si="2"/>
        <v>#DIV/0!</v>
      </c>
      <c r="N61" s="36"/>
      <c r="O61" s="32"/>
    </row>
    <row r="62" spans="1:15" s="160" customFormat="1" ht="17.25" hidden="1" customHeight="1">
      <c r="B62" s="144" t="s">
        <v>83</v>
      </c>
      <c r="C62" s="161"/>
      <c r="D62" s="161"/>
      <c r="E62" s="161"/>
      <c r="F62" s="161"/>
      <c r="G62" s="49">
        <f t="shared" si="5"/>
        <v>0</v>
      </c>
      <c r="H62" s="49"/>
      <c r="I62" s="49"/>
      <c r="J62" s="49"/>
      <c r="K62" s="49"/>
      <c r="L62" s="193"/>
      <c r="M62" s="74"/>
      <c r="N62" s="36"/>
      <c r="O62" s="32"/>
    </row>
    <row r="63" spans="1:15" s="122" customFormat="1" ht="17.25" hidden="1" customHeight="1">
      <c r="B63" s="144" t="s">
        <v>84</v>
      </c>
      <c r="C63" s="161"/>
      <c r="D63" s="161"/>
      <c r="E63" s="161"/>
      <c r="F63" s="161"/>
      <c r="G63" s="49">
        <f t="shared" si="5"/>
        <v>0</v>
      </c>
      <c r="H63" s="49"/>
      <c r="I63" s="49"/>
      <c r="J63" s="49"/>
      <c r="K63" s="49"/>
      <c r="L63" s="193" t="e">
        <f>M63</f>
        <v>#DIV/0!</v>
      </c>
      <c r="M63" s="74" t="e">
        <f t="shared" ref="M63:M71" si="6">G63/$N$9</f>
        <v>#DIV/0!</v>
      </c>
      <c r="N63" s="18"/>
      <c r="O63" s="19"/>
    </row>
    <row r="64" spans="1:15" s="122" customFormat="1" ht="17.25" hidden="1" customHeight="1">
      <c r="B64" s="99" t="s">
        <v>85</v>
      </c>
      <c r="C64" s="93"/>
      <c r="D64" s="93"/>
      <c r="E64" s="93"/>
      <c r="F64" s="93"/>
      <c r="G64" s="49">
        <f t="shared" si="5"/>
        <v>0</v>
      </c>
      <c r="H64" s="49"/>
      <c r="I64" s="49"/>
      <c r="J64" s="49"/>
      <c r="K64" s="49"/>
      <c r="L64" s="193" t="e">
        <f>G64/$N$9</f>
        <v>#DIV/0!</v>
      </c>
      <c r="M64" s="74" t="e">
        <f t="shared" si="6"/>
        <v>#DIV/0!</v>
      </c>
      <c r="N64" s="18"/>
      <c r="O64" s="19"/>
    </row>
    <row r="65" spans="2:15" s="115" customFormat="1" ht="16.5" hidden="1" customHeight="1">
      <c r="B65" s="120" t="s">
        <v>86</v>
      </c>
      <c r="C65" s="121"/>
      <c r="D65" s="121"/>
      <c r="E65" s="121"/>
      <c r="F65" s="121"/>
      <c r="G65" s="49">
        <f t="shared" si="5"/>
        <v>0</v>
      </c>
      <c r="H65" s="49"/>
      <c r="I65" s="49"/>
      <c r="J65" s="49"/>
      <c r="K65" s="49"/>
      <c r="L65" s="192" t="e">
        <f>L67+L68+L69</f>
        <v>#DIV/0!</v>
      </c>
      <c r="M65" s="74" t="e">
        <f t="shared" si="6"/>
        <v>#DIV/0!</v>
      </c>
      <c r="N65" s="36"/>
      <c r="O65" s="32"/>
    </row>
    <row r="66" spans="2:15" s="160" customFormat="1" ht="15" hidden="1" customHeight="1">
      <c r="B66" s="99" t="s">
        <v>87</v>
      </c>
      <c r="C66" s="194"/>
      <c r="D66" s="194"/>
      <c r="E66" s="194"/>
      <c r="F66" s="194"/>
      <c r="G66" s="49">
        <f t="shared" si="5"/>
        <v>0</v>
      </c>
      <c r="H66" s="49"/>
      <c r="I66" s="49"/>
      <c r="J66" s="49"/>
      <c r="K66" s="49"/>
      <c r="L66" s="193" t="e">
        <f>G66/$N$9</f>
        <v>#DIV/0!</v>
      </c>
      <c r="M66" s="74" t="e">
        <f t="shared" si="6"/>
        <v>#DIV/0!</v>
      </c>
      <c r="N66" s="36"/>
      <c r="O66" s="32"/>
    </row>
    <row r="67" spans="2:15" s="160" customFormat="1" ht="15" hidden="1" customHeight="1">
      <c r="B67" s="99" t="s">
        <v>88</v>
      </c>
      <c r="C67" s="93"/>
      <c r="D67" s="93"/>
      <c r="E67" s="93"/>
      <c r="F67" s="93"/>
      <c r="G67" s="49">
        <f t="shared" si="5"/>
        <v>0</v>
      </c>
      <c r="H67" s="49"/>
      <c r="I67" s="49"/>
      <c r="J67" s="49"/>
      <c r="K67" s="49"/>
      <c r="L67" s="193" t="e">
        <f>G67/$N$9</f>
        <v>#DIV/0!</v>
      </c>
      <c r="M67" s="74" t="e">
        <f t="shared" si="6"/>
        <v>#DIV/0!</v>
      </c>
      <c r="N67" s="36"/>
      <c r="O67" s="32"/>
    </row>
    <row r="68" spans="2:15" s="122" customFormat="1" ht="15" hidden="1" customHeight="1">
      <c r="B68" s="99" t="s">
        <v>89</v>
      </c>
      <c r="C68" s="93"/>
      <c r="D68" s="93"/>
      <c r="E68" s="93"/>
      <c r="F68" s="93"/>
      <c r="G68" s="49">
        <f t="shared" si="5"/>
        <v>0</v>
      </c>
      <c r="H68" s="49"/>
      <c r="I68" s="49"/>
      <c r="J68" s="49"/>
      <c r="K68" s="49"/>
      <c r="L68" s="193" t="e">
        <f>G68/$N$9</f>
        <v>#DIV/0!</v>
      </c>
      <c r="M68" s="74" t="e">
        <f t="shared" si="6"/>
        <v>#DIV/0!</v>
      </c>
      <c r="N68" s="18"/>
      <c r="O68" s="19"/>
    </row>
    <row r="69" spans="2:15" s="122" customFormat="1" ht="15" hidden="1" customHeight="1">
      <c r="B69" s="99" t="s">
        <v>90</v>
      </c>
      <c r="C69" s="93"/>
      <c r="D69" s="93"/>
      <c r="E69" s="93"/>
      <c r="F69" s="93"/>
      <c r="G69" s="49">
        <f t="shared" si="5"/>
        <v>0</v>
      </c>
      <c r="H69" s="49">
        <f>SUM(H70:H75)</f>
        <v>0</v>
      </c>
      <c r="I69" s="49">
        <f>SUM(I70:I75)</f>
        <v>0</v>
      </c>
      <c r="J69" s="49">
        <f>SUM(J70:J75)</f>
        <v>0</v>
      </c>
      <c r="K69" s="49">
        <f>SUM(K70:K75)</f>
        <v>0</v>
      </c>
      <c r="L69" s="177" t="e">
        <f>SUM(L70:L75)</f>
        <v>#DIV/0!</v>
      </c>
      <c r="M69" s="74" t="e">
        <f t="shared" si="6"/>
        <v>#DIV/0!</v>
      </c>
      <c r="N69" s="18"/>
      <c r="O69" s="19"/>
    </row>
    <row r="70" spans="2:15" s="122" customFormat="1" ht="15" hidden="1" customHeight="1">
      <c r="B70" s="195" t="s">
        <v>91</v>
      </c>
      <c r="C70" s="196"/>
      <c r="D70" s="196"/>
      <c r="E70" s="196"/>
      <c r="F70" s="197"/>
      <c r="G70" s="49">
        <f t="shared" si="5"/>
        <v>0</v>
      </c>
      <c r="H70" s="49"/>
      <c r="I70" s="49"/>
      <c r="J70" s="49"/>
      <c r="K70" s="49"/>
      <c r="L70" s="165" t="e">
        <f>M70</f>
        <v>#DIV/0!</v>
      </c>
      <c r="M70" s="74" t="e">
        <f t="shared" si="6"/>
        <v>#DIV/0!</v>
      </c>
      <c r="N70" s="18"/>
      <c r="O70" s="19"/>
    </row>
    <row r="71" spans="2:15" s="122" customFormat="1" ht="16.5" hidden="1" customHeight="1">
      <c r="B71" s="144" t="s">
        <v>92</v>
      </c>
      <c r="C71" s="161"/>
      <c r="D71" s="161"/>
      <c r="E71" s="161"/>
      <c r="F71" s="198"/>
      <c r="G71" s="153">
        <f t="shared" si="5"/>
        <v>0</v>
      </c>
      <c r="H71" s="49"/>
      <c r="I71" s="49"/>
      <c r="J71" s="49"/>
      <c r="K71" s="49"/>
      <c r="L71" s="106" t="e">
        <f>M71</f>
        <v>#DIV/0!</v>
      </c>
      <c r="M71" s="74" t="e">
        <f t="shared" si="6"/>
        <v>#DIV/0!</v>
      </c>
      <c r="N71" s="18"/>
      <c r="O71" s="19"/>
    </row>
    <row r="72" spans="2:15" s="122" customFormat="1" ht="15" hidden="1" customHeight="1">
      <c r="B72" s="144" t="s">
        <v>93</v>
      </c>
      <c r="C72" s="161"/>
      <c r="D72" s="161"/>
      <c r="E72" s="161"/>
      <c r="F72" s="198"/>
      <c r="G72" s="49">
        <f>+H72+I72+J72+K72</f>
        <v>0</v>
      </c>
      <c r="H72" s="49"/>
      <c r="I72" s="49"/>
      <c r="J72" s="49"/>
      <c r="K72" s="49"/>
      <c r="L72" s="199" t="e">
        <f>L20-L71-L26</f>
        <v>#DIV/0!</v>
      </c>
      <c r="M72" s="17" t="e">
        <f>G75/$N$9</f>
        <v>#DIV/0!</v>
      </c>
      <c r="N72" s="18"/>
      <c r="O72" s="19"/>
    </row>
    <row r="73" spans="2:15" s="122" customFormat="1" ht="15" hidden="1" customHeight="1">
      <c r="B73" s="99" t="s">
        <v>94</v>
      </c>
      <c r="C73" s="93"/>
      <c r="D73" s="93"/>
      <c r="E73" s="93"/>
      <c r="F73" s="200"/>
      <c r="G73" s="49">
        <f>SUM(H73:K73)</f>
        <v>0</v>
      </c>
      <c r="H73" s="49"/>
      <c r="I73" s="49"/>
      <c r="J73" s="49"/>
      <c r="K73" s="49"/>
      <c r="L73" s="193" t="e">
        <f>M73</f>
        <v>#DIV/0!</v>
      </c>
      <c r="M73" s="17" t="e">
        <f>G73/$N$9</f>
        <v>#DIV/0!</v>
      </c>
      <c r="N73" s="18"/>
      <c r="O73" s="19"/>
    </row>
    <row r="74" spans="2:15" s="122" customFormat="1" ht="15" hidden="1" customHeight="1">
      <c r="B74" s="99" t="s">
        <v>95</v>
      </c>
      <c r="C74" s="93"/>
      <c r="D74" s="93"/>
      <c r="E74" s="93"/>
      <c r="F74" s="200"/>
      <c r="G74" s="49">
        <f>SUM(H74:K74)</f>
        <v>0</v>
      </c>
      <c r="H74" s="49"/>
      <c r="I74" s="49"/>
      <c r="J74" s="49"/>
      <c r="K74" s="49"/>
      <c r="L74" s="119">
        <f>M74</f>
        <v>0</v>
      </c>
      <c r="M74" s="17"/>
      <c r="N74" s="18"/>
      <c r="O74" s="19"/>
    </row>
    <row r="75" spans="2:15" s="122" customFormat="1" ht="15" hidden="1" customHeight="1">
      <c r="B75" s="99" t="s">
        <v>96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93">
        <f>M75</f>
        <v>0</v>
      </c>
      <c r="M75" s="17"/>
      <c r="N75" s="18"/>
      <c r="O75" s="19"/>
    </row>
    <row r="76" spans="2:15" s="128" customFormat="1" ht="15" hidden="1" customHeight="1">
      <c r="B76" s="170" t="s">
        <v>97</v>
      </c>
      <c r="C76" s="171"/>
      <c r="D76" s="171"/>
      <c r="E76" s="171"/>
      <c r="F76" s="171"/>
      <c r="G76" s="49">
        <f>SUM(H76:K76)</f>
        <v>0</v>
      </c>
      <c r="H76" s="49"/>
      <c r="I76" s="49"/>
      <c r="J76" s="49"/>
      <c r="K76" s="49"/>
      <c r="L76" s="119">
        <f>G76/7296</f>
        <v>0</v>
      </c>
      <c r="M76" s="17">
        <f>G76/7296</f>
        <v>0</v>
      </c>
      <c r="N76" s="149"/>
      <c r="O76" s="134"/>
    </row>
    <row r="77" spans="2:15" ht="36.75" customHeight="1">
      <c r="B77" s="23" t="s">
        <v>98</v>
      </c>
      <c r="C77" s="23"/>
      <c r="D77" s="23"/>
      <c r="E77" s="201"/>
      <c r="F77" s="23" t="s">
        <v>99</v>
      </c>
      <c r="G77" s="202"/>
      <c r="H77" s="20"/>
      <c r="I77" s="51"/>
      <c r="J77" s="20"/>
      <c r="K77" s="20"/>
      <c r="L77" s="203"/>
    </row>
    <row r="78" spans="2:15" ht="24.75" customHeight="1">
      <c r="B78" s="19" t="s">
        <v>100</v>
      </c>
      <c r="C78" s="19"/>
      <c r="D78" s="19"/>
      <c r="E78" s="204"/>
      <c r="F78" s="205" t="str">
        <f>'резерв отпускных (3)'!D20</f>
        <v>А.Р. Саттарова</v>
      </c>
      <c r="G78" s="206"/>
      <c r="H78" s="20"/>
      <c r="I78" s="20"/>
      <c r="J78" s="20"/>
      <c r="K78" s="20"/>
      <c r="L78" s="207" t="e">
        <f>L20-L22-L27-L28-L29-L42-L43-L48-L54-L58</f>
        <v>#DIV/0!</v>
      </c>
    </row>
    <row r="79" spans="2:15" ht="24.75" customHeight="1">
      <c r="B79" s="19"/>
      <c r="C79" s="19"/>
      <c r="D79" s="19"/>
      <c r="E79" s="19"/>
      <c r="F79" s="19"/>
      <c r="G79" s="20"/>
      <c r="H79" s="20"/>
      <c r="I79" s="20"/>
      <c r="J79" s="20"/>
      <c r="K79" s="208"/>
      <c r="L79" s="207"/>
    </row>
    <row r="80" spans="2:15" ht="24.75" hidden="1" customHeight="1">
      <c r="B80" s="19"/>
      <c r="C80" s="19"/>
      <c r="D80" s="19"/>
      <c r="E80" s="19"/>
      <c r="F80" s="19"/>
      <c r="G80" s="20"/>
      <c r="H80" s="20"/>
      <c r="I80" s="20"/>
      <c r="J80" s="20"/>
      <c r="K80" s="208"/>
      <c r="L80" s="207"/>
    </row>
    <row r="81" spans="2:13" ht="18.75" customHeight="1">
      <c r="B81" s="19"/>
      <c r="C81" s="19"/>
      <c r="D81" s="19"/>
      <c r="E81" s="52"/>
      <c r="F81" s="209"/>
      <c r="H81" s="209"/>
      <c r="I81" s="210"/>
      <c r="J81" s="20"/>
      <c r="K81" s="20"/>
    </row>
    <row r="82" spans="2:13" ht="12.75" customHeight="1">
      <c r="I82" s="210"/>
      <c r="J82" s="20"/>
      <c r="K82" s="20"/>
    </row>
    <row r="83" spans="2:13" ht="18.75" customHeight="1">
      <c r="I83" s="210"/>
      <c r="J83" s="20"/>
      <c r="K83" s="20"/>
    </row>
    <row r="84" spans="2:13" ht="12.75" customHeight="1">
      <c r="I84" s="210"/>
      <c r="L84" s="211" t="e">
        <f>L22+L27+L29+L43+L48+L54+L58+L28+L24</f>
        <v>#DIV/0!</v>
      </c>
      <c r="M84" s="212" t="e">
        <f>M22+M27+M29+M43+M48+M54+M58+M28+M24</f>
        <v>#DIV/0!</v>
      </c>
    </row>
    <row r="85" spans="2:13" ht="12.75" customHeight="1">
      <c r="I85" s="210"/>
    </row>
    <row r="86" spans="2:13" ht="12.75" customHeight="1">
      <c r="C86" s="213"/>
      <c r="L86" s="214"/>
    </row>
    <row r="87" spans="2:13" ht="12.75" customHeight="1">
      <c r="I87" s="210"/>
    </row>
    <row r="88" spans="2:13" ht="12.75" customHeight="1">
      <c r="I88" s="210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</sheetData>
  <mergeCells count="7">
    <mergeCell ref="B49:D49"/>
    <mergeCell ref="B2:K2"/>
    <mergeCell ref="B3:K3"/>
    <mergeCell ref="P3:S3"/>
    <mergeCell ref="H18:I18"/>
    <mergeCell ref="J18:K18"/>
    <mergeCell ref="N18:N19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W53"/>
  <sheetViews>
    <sheetView view="pageBreakPreview" zoomScale="80" zoomScaleNormal="100" zoomScalePageLayoutView="80" workbookViewId="0">
      <selection activeCell="D7" sqref="D7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44.140625" style="15" customWidth="1"/>
    <col min="4" max="4" width="15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8"/>
      <c r="F9" s="19"/>
      <c r="G9" s="19"/>
    </row>
    <row r="10" spans="2:10" ht="15.75">
      <c r="B10" s="18"/>
      <c r="C10" s="18" t="str">
        <f>' (смета) (4)'!D6</f>
        <v>"Педагог-психолог"</v>
      </c>
      <c r="D10" s="18"/>
      <c r="E10" s="18"/>
      <c r="F10" s="19"/>
      <c r="G10" s="19"/>
    </row>
    <row r="11" spans="2:10" ht="15.75">
      <c r="B11" s="238"/>
      <c r="C11" s="51" t="str">
        <f>' (смета) (4)'!B7</f>
        <v>По программе:</v>
      </c>
      <c r="D11" s="18"/>
      <c r="E11" s="18"/>
      <c r="F11" s="19"/>
      <c r="G11" s="19"/>
    </row>
    <row r="12" spans="2:10" ht="15.75">
      <c r="B12" s="51"/>
      <c r="C12" s="51" t="str">
        <f>' (смета) (4)'!D7</f>
        <v>Я и мои друзья (индивидуальное занятие)</v>
      </c>
      <c r="D12" s="18"/>
      <c r="E12" s="18"/>
      <c r="F12" s="19"/>
      <c r="G12" s="19"/>
    </row>
    <row r="13" spans="2:10" ht="15.75">
      <c r="B13" s="3" t="str">
        <f>' (смета)'!B3:K3</f>
        <v xml:space="preserve">                 На  2024-2025 учебный год  (сентябрь -май)</v>
      </c>
      <c r="C13" s="3"/>
      <c r="D13" s="3"/>
      <c r="E13" s="3"/>
      <c r="F13" s="19"/>
      <c r="G13" s="19"/>
    </row>
    <row r="14" spans="2:10" ht="24.75" customHeight="1">
      <c r="B14" s="223" t="s">
        <v>124</v>
      </c>
      <c r="C14" s="223" t="s">
        <v>125</v>
      </c>
      <c r="D14" s="223" t="s">
        <v>126</v>
      </c>
      <c r="E14" s="239" t="s">
        <v>127</v>
      </c>
    </row>
    <row r="15" spans="2:10" ht="16.5" customHeight="1">
      <c r="B15" s="240">
        <v>1</v>
      </c>
      <c r="C15" s="241" t="s">
        <v>128</v>
      </c>
      <c r="D15" s="242">
        <f>SUM(D16:D25)</f>
        <v>51839.000000000007</v>
      </c>
      <c r="E15" s="243">
        <f>SUM(E16:E24)</f>
        <v>0</v>
      </c>
    </row>
    <row r="16" spans="2:10" ht="15.75">
      <c r="B16" s="244" t="s">
        <v>129</v>
      </c>
      <c r="C16" s="245" t="s">
        <v>3</v>
      </c>
      <c r="D16" s="49">
        <f>'резерв отпускных (4)'!D15</f>
        <v>35059.530362844249</v>
      </c>
      <c r="E16" s="246"/>
    </row>
    <row r="17" spans="2:5" ht="15.75">
      <c r="B17" s="244" t="s">
        <v>130</v>
      </c>
      <c r="C17" s="245" t="s">
        <v>131</v>
      </c>
      <c r="D17" s="49">
        <f>'резерв отпускных (4)'!D16</f>
        <v>10587.978169578962</v>
      </c>
      <c r="E17" s="246"/>
    </row>
    <row r="18" spans="2:5" ht="15.75">
      <c r="B18" s="244" t="s">
        <v>132</v>
      </c>
      <c r="C18" s="245" t="s">
        <v>133</v>
      </c>
      <c r="D18" s="49">
        <f>'резерв отпускных (4)'!D14-1</f>
        <v>6191.4914675767923</v>
      </c>
      <c r="E18" s="246"/>
    </row>
    <row r="19" spans="2:5" ht="15.75" hidden="1">
      <c r="B19" s="244" t="s">
        <v>134</v>
      </c>
      <c r="C19" s="245"/>
      <c r="D19" s="247"/>
      <c r="E19" s="246"/>
    </row>
    <row r="20" spans="2:5" ht="15.75" hidden="1">
      <c r="B20" s="244" t="s">
        <v>135</v>
      </c>
      <c r="C20" s="245"/>
      <c r="D20" s="247"/>
      <c r="E20" s="246"/>
    </row>
    <row r="21" spans="2:5" ht="15.75" hidden="1">
      <c r="B21" s="244" t="s">
        <v>136</v>
      </c>
      <c r="C21" s="245"/>
      <c r="D21" s="247"/>
      <c r="E21" s="246"/>
    </row>
    <row r="22" spans="2:5" ht="15.75" hidden="1">
      <c r="B22" s="244" t="s">
        <v>137</v>
      </c>
      <c r="C22" s="245"/>
      <c r="D22" s="247"/>
      <c r="E22" s="246"/>
    </row>
    <row r="23" spans="2:5" ht="25.5" hidden="1" customHeight="1">
      <c r="B23" s="244" t="s">
        <v>138</v>
      </c>
      <c r="C23" s="245"/>
      <c r="D23" s="245"/>
      <c r="E23" s="246"/>
    </row>
    <row r="24" spans="2:5" ht="15.75" hidden="1">
      <c r="B24" s="244" t="s">
        <v>139</v>
      </c>
      <c r="C24" s="245"/>
      <c r="D24" s="245"/>
      <c r="E24" s="246"/>
    </row>
    <row r="25" spans="2:5" ht="15.75" hidden="1">
      <c r="B25" s="60"/>
      <c r="C25" s="245"/>
      <c r="D25" s="247"/>
      <c r="E25" s="246"/>
    </row>
    <row r="26" spans="2:5" ht="15.75">
      <c r="B26" s="240">
        <v>2</v>
      </c>
      <c r="C26" s="241" t="s">
        <v>140</v>
      </c>
      <c r="D26" s="248">
        <f>D27+D38+D43+D44+D42+D41+D39+D40</f>
        <v>34559.999999999993</v>
      </c>
      <c r="E26" s="243">
        <f>E27+E38+E41+E42+E43+E44</f>
        <v>0</v>
      </c>
    </row>
    <row r="27" spans="2:5" ht="31.5" hidden="1">
      <c r="B27" s="244" t="s">
        <v>141</v>
      </c>
      <c r="C27" s="249" t="s">
        <v>142</v>
      </c>
      <c r="D27" s="49">
        <f>D28+D37</f>
        <v>0</v>
      </c>
      <c r="E27" s="246">
        <f>E28+E37</f>
        <v>0</v>
      </c>
    </row>
    <row r="28" spans="2:5" ht="15.75" hidden="1">
      <c r="B28" s="244" t="s">
        <v>143</v>
      </c>
      <c r="C28" s="143" t="s">
        <v>3</v>
      </c>
      <c r="D28" s="49">
        <f>SUM(D29:D36)</f>
        <v>0</v>
      </c>
      <c r="E28" s="246">
        <f>SUM(E29:E36)</f>
        <v>0</v>
      </c>
    </row>
    <row r="29" spans="2:5" ht="15.75" hidden="1">
      <c r="B29" s="244"/>
      <c r="C29" s="143" t="s">
        <v>144</v>
      </c>
      <c r="D29" s="49"/>
      <c r="E29" s="246"/>
    </row>
    <row r="30" spans="2:5" ht="15.75" hidden="1">
      <c r="B30" s="244"/>
      <c r="C30" s="143" t="s">
        <v>145</v>
      </c>
      <c r="D30" s="247"/>
      <c r="E30" s="246"/>
    </row>
    <row r="31" spans="2:5" ht="15.75" hidden="1">
      <c r="B31" s="244"/>
      <c r="C31" s="143" t="s">
        <v>146</v>
      </c>
      <c r="D31" s="247"/>
      <c r="E31" s="246"/>
    </row>
    <row r="32" spans="2:5" ht="15.75" hidden="1">
      <c r="B32" s="244"/>
      <c r="C32" s="143" t="s">
        <v>147</v>
      </c>
      <c r="D32" s="247"/>
      <c r="E32" s="246"/>
    </row>
    <row r="33" spans="2:5" ht="15.75" hidden="1">
      <c r="B33" s="244"/>
      <c r="C33" s="143" t="s">
        <v>148</v>
      </c>
      <c r="D33" s="49">
        <f>+' (смета)'!G56/1.271</f>
        <v>0</v>
      </c>
      <c r="E33" s="246"/>
    </row>
    <row r="34" spans="2:5" ht="15.75" hidden="1">
      <c r="B34" s="244"/>
      <c r="C34" s="143" t="s">
        <v>149</v>
      </c>
      <c r="D34" s="247"/>
      <c r="E34" s="246"/>
    </row>
    <row r="35" spans="2:5" ht="15.75" hidden="1">
      <c r="B35" s="244"/>
      <c r="C35" s="143" t="s">
        <v>150</v>
      </c>
      <c r="D35" s="247"/>
      <c r="E35" s="246"/>
    </row>
    <row r="36" spans="2:5" ht="15.75" hidden="1">
      <c r="B36" s="244"/>
      <c r="C36" s="143" t="s">
        <v>151</v>
      </c>
      <c r="D36" s="247"/>
      <c r="E36" s="246"/>
    </row>
    <row r="37" spans="2:5" ht="15.75" hidden="1">
      <c r="B37" s="244" t="s">
        <v>152</v>
      </c>
      <c r="C37" s="143" t="s">
        <v>131</v>
      </c>
      <c r="D37" s="49">
        <f>D28*27.1%</f>
        <v>0</v>
      </c>
      <c r="E37" s="246">
        <f>E28*26.2%</f>
        <v>0</v>
      </c>
    </row>
    <row r="38" spans="2:5" ht="15.75">
      <c r="B38" s="244" t="s">
        <v>153</v>
      </c>
      <c r="C38" s="245" t="s">
        <v>154</v>
      </c>
      <c r="D38" s="49">
        <f>' (смета) (4)'!G29</f>
        <v>8640</v>
      </c>
      <c r="E38" s="246"/>
    </row>
    <row r="39" spans="2:5" ht="31.5" customHeight="1">
      <c r="B39" s="250" t="s">
        <v>155</v>
      </c>
      <c r="C39" s="251" t="s">
        <v>156</v>
      </c>
      <c r="D39" s="49">
        <f>' (смета) (4)'!G49</f>
        <v>4320</v>
      </c>
      <c r="E39" s="246"/>
    </row>
    <row r="40" spans="2:5" ht="16.5" customHeight="1">
      <c r="B40" s="250" t="s">
        <v>157</v>
      </c>
      <c r="C40" s="251" t="s">
        <v>158</v>
      </c>
      <c r="D40" s="49">
        <f>' (смета) (4)'!G50</f>
        <v>1123.2000000000003</v>
      </c>
      <c r="E40" s="246"/>
    </row>
    <row r="41" spans="2:5" ht="15.75">
      <c r="B41" s="244" t="s">
        <v>159</v>
      </c>
      <c r="C41" s="245" t="s">
        <v>160</v>
      </c>
      <c r="D41" s="49">
        <f>' (смета) (4)'!G71</f>
        <v>0</v>
      </c>
      <c r="E41" s="246"/>
    </row>
    <row r="42" spans="2:5" ht="15.75">
      <c r="B42" s="244" t="s">
        <v>161</v>
      </c>
      <c r="C42" s="99" t="s">
        <v>162</v>
      </c>
      <c r="D42" s="252">
        <f>+' (смета) (4)'!G72</f>
        <v>0</v>
      </c>
      <c r="E42" s="93"/>
    </row>
    <row r="43" spans="2:5" ht="15.75">
      <c r="B43" s="244" t="s">
        <v>163</v>
      </c>
      <c r="C43" s="245" t="s">
        <v>164</v>
      </c>
      <c r="D43" s="247">
        <f>' (смета) (4)'!G60</f>
        <v>20476.799999999996</v>
      </c>
      <c r="E43" s="246"/>
    </row>
    <row r="44" spans="2:5" ht="15.75">
      <c r="B44" s="244" t="s">
        <v>165</v>
      </c>
      <c r="C44" s="249" t="s">
        <v>166</v>
      </c>
      <c r="D44" s="247">
        <f>' (смета) (4)'!G73</f>
        <v>0</v>
      </c>
      <c r="E44" s="246"/>
    </row>
    <row r="45" spans="2:5" ht="18.75" customHeight="1">
      <c r="B45" s="240">
        <v>3</v>
      </c>
      <c r="C45" s="241" t="s">
        <v>167</v>
      </c>
      <c r="D45" s="248">
        <f>D15+D26</f>
        <v>86399</v>
      </c>
      <c r="E45" s="243">
        <f>E15+E26</f>
        <v>0</v>
      </c>
    </row>
    <row r="46" spans="2:5" ht="15.75">
      <c r="B46" s="60"/>
      <c r="C46" s="245"/>
      <c r="D46" s="247"/>
      <c r="E46" s="246"/>
    </row>
    <row r="47" spans="2:5" ht="15.75">
      <c r="B47" s="60">
        <v>4</v>
      </c>
      <c r="C47" s="245" t="s">
        <v>168</v>
      </c>
      <c r="D47" s="49">
        <f>' (смета) (4)'!E8</f>
        <v>3</v>
      </c>
      <c r="E47" s="246"/>
    </row>
    <row r="48" spans="2:5" ht="15.75">
      <c r="B48" s="60">
        <v>5</v>
      </c>
      <c r="C48" s="245" t="s">
        <v>169</v>
      </c>
      <c r="D48" s="49">
        <f>' (смета) (4)'!E13</f>
        <v>72</v>
      </c>
      <c r="E48" s="246"/>
    </row>
    <row r="49" spans="2:8" ht="15.75">
      <c r="B49" s="240">
        <v>6</v>
      </c>
      <c r="C49" s="241" t="s">
        <v>170</v>
      </c>
      <c r="D49" s="248">
        <f>D45/D47/D48</f>
        <v>399.99537037037038</v>
      </c>
      <c r="E49" s="243"/>
    </row>
    <row r="50" spans="2:8" ht="15.75">
      <c r="B50" s="19"/>
      <c r="C50" s="19"/>
      <c r="D50" s="19"/>
    </row>
    <row r="51" spans="2:8" ht="15.75">
      <c r="B51" s="19" t="s">
        <v>171</v>
      </c>
      <c r="C51" s="20" t="str">
        <f>' (смета) (4)'!F78</f>
        <v>А.Р. Саттарова</v>
      </c>
      <c r="D51" s="19"/>
      <c r="E51" s="204"/>
      <c r="F51" s="52"/>
      <c r="G51" s="2"/>
      <c r="H51" s="2"/>
    </row>
    <row r="52" spans="2:8" ht="15.75">
      <c r="B52" s="19"/>
      <c r="C52" s="19"/>
      <c r="D52" s="19"/>
      <c r="E52" s="19"/>
      <c r="F52" s="19"/>
      <c r="G52" s="20"/>
      <c r="H52" s="20"/>
    </row>
    <row r="53" spans="2:8" ht="15.75">
      <c r="B53" s="19"/>
      <c r="C53" s="19"/>
      <c r="D53" s="19"/>
      <c r="E53" s="204"/>
      <c r="F53" s="52"/>
      <c r="G53" s="8"/>
      <c r="H53" s="8"/>
    </row>
  </sheetData>
  <mergeCells count="6">
    <mergeCell ref="G53:H53"/>
    <mergeCell ref="D3:G3"/>
    <mergeCell ref="B8:D8"/>
    <mergeCell ref="B9:D9"/>
    <mergeCell ref="B13:E13"/>
    <mergeCell ref="G51:H51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W21"/>
  <sheetViews>
    <sheetView view="pageBreakPreview" zoomScale="80" zoomScaleNormal="100" zoomScalePageLayoutView="80" workbookViewId="0">
      <selection activeCell="G11" sqref="G11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4.5703125" style="19" customWidth="1"/>
    <col min="6" max="7" width="9.140625" style="19"/>
    <col min="8" max="8" width="9.42578125" style="19" customWidth="1"/>
    <col min="9" max="257" width="9.140625" style="19"/>
  </cols>
  <sheetData>
    <row r="2" spans="2:7">
      <c r="B2" s="267" t="str">
        <f>' (смета) (4)'!C4</f>
        <v xml:space="preserve">Муниципальное бюджетное образовательное учреждение  дополнительного образования        </v>
      </c>
      <c r="C2" s="267"/>
      <c r="D2" s="267"/>
      <c r="E2" s="215"/>
    </row>
    <row r="3" spans="2:7">
      <c r="B3" s="7" t="str">
        <f>' (смета) (4)'!C5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>
      <c r="B7" s="283" t="s">
        <v>185</v>
      </c>
      <c r="C7" s="283"/>
      <c r="D7" s="216"/>
      <c r="E7" s="216"/>
    </row>
    <row r="8" spans="2:7" ht="15.75" customHeight="1">
      <c r="B8" s="268"/>
      <c r="C8" s="268" t="str">
        <f>' (смета) (4)'!B7</f>
        <v>По программе:</v>
      </c>
      <c r="D8" s="216"/>
      <c r="E8" s="215"/>
    </row>
    <row r="9" spans="2:7" s="32" customFormat="1">
      <c r="B9" s="216"/>
      <c r="C9" s="269" t="str">
        <f>'калькуляция (4)'!C12</f>
        <v>Я и мои друзья (индивидуальное занятие)</v>
      </c>
      <c r="D9" s="270"/>
      <c r="E9" s="221"/>
    </row>
    <row r="10" spans="2:7" ht="33" customHeight="1">
      <c r="B10" s="222" t="s">
        <v>104</v>
      </c>
      <c r="C10" s="223" t="s">
        <v>105</v>
      </c>
      <c r="D10" s="223" t="s">
        <v>106</v>
      </c>
      <c r="E10" s="224"/>
      <c r="F10" s="18" t="s">
        <v>107</v>
      </c>
      <c r="G10" s="18" t="s">
        <v>108</v>
      </c>
    </row>
    <row r="11" spans="2:7" ht="23.25" customHeight="1">
      <c r="B11" s="223">
        <v>1</v>
      </c>
      <c r="C11" s="225" t="s">
        <v>109</v>
      </c>
      <c r="D11" s="226">
        <f>(' (смета) (4)'!G23/9)/29.3*F11</f>
        <v>4756.1378399207315</v>
      </c>
      <c r="E11" s="227"/>
      <c r="F11" s="228">
        <f>42/12*9</f>
        <v>31.5</v>
      </c>
      <c r="G11" s="228">
        <f>F11/9</f>
        <v>3.5</v>
      </c>
    </row>
    <row r="12" spans="2:7" ht="33" customHeight="1">
      <c r="B12" s="223">
        <v>2</v>
      </c>
      <c r="C12" s="229" t="s">
        <v>110</v>
      </c>
      <c r="D12" s="230">
        <f>D11*30.2%</f>
        <v>1436.3536276560608</v>
      </c>
      <c r="E12" s="231"/>
    </row>
    <row r="13" spans="2:7" ht="33" hidden="1" customHeight="1">
      <c r="B13" s="223">
        <v>3</v>
      </c>
      <c r="C13" s="229" t="s">
        <v>111</v>
      </c>
      <c r="D13" s="230"/>
      <c r="E13" s="231"/>
    </row>
    <row r="14" spans="2:7" ht="54" customHeight="1">
      <c r="B14" s="223">
        <v>3</v>
      </c>
      <c r="C14" s="229" t="s">
        <v>112</v>
      </c>
      <c r="D14" s="230">
        <f>D11+D12-D13</f>
        <v>6192.4914675767923</v>
      </c>
      <c r="E14" s="231"/>
    </row>
    <row r="15" spans="2:7" ht="33" customHeight="1">
      <c r="B15" s="223">
        <v>4</v>
      </c>
      <c r="C15" s="229" t="s">
        <v>113</v>
      </c>
      <c r="D15" s="232">
        <f>' (смета) (4)'!G23-D11</f>
        <v>35059.530362844249</v>
      </c>
      <c r="E15" s="227"/>
    </row>
    <row r="16" spans="2:7" ht="33" customHeight="1">
      <c r="B16" s="223">
        <v>5</v>
      </c>
      <c r="C16" s="229" t="s">
        <v>114</v>
      </c>
      <c r="D16" s="230">
        <f>D15*30.2%</f>
        <v>10587.978169578962</v>
      </c>
      <c r="E16" s="231"/>
    </row>
    <row r="17" spans="2:5" ht="33" customHeight="1">
      <c r="B17" s="223">
        <v>6</v>
      </c>
      <c r="C17" s="229" t="s">
        <v>115</v>
      </c>
      <c r="D17" s="230">
        <f>D15+D16</f>
        <v>45647.508532423213</v>
      </c>
      <c r="E17" s="231"/>
    </row>
    <row r="18" spans="2:5" ht="33" customHeight="1">
      <c r="B18" s="223">
        <v>7</v>
      </c>
      <c r="C18" s="229" t="s">
        <v>116</v>
      </c>
      <c r="D18" s="233">
        <f>D14/D17</f>
        <v>0.13565891472868216</v>
      </c>
      <c r="E18" s="234"/>
    </row>
    <row r="19" spans="2:5" ht="49.5" customHeight="1">
      <c r="B19" s="223">
        <v>8</v>
      </c>
      <c r="C19" s="229" t="s">
        <v>117</v>
      </c>
      <c r="D19" s="235" t="s">
        <v>118</v>
      </c>
      <c r="E19" s="236"/>
    </row>
    <row r="21" spans="2:5">
      <c r="B21" s="19" t="s">
        <v>119</v>
      </c>
      <c r="D21" s="20" t="str">
        <f>'калькуляция (4)'!C51</f>
        <v>А.Р. Саттарова</v>
      </c>
    </row>
  </sheetData>
  <mergeCells count="3">
    <mergeCell ref="B3:D3"/>
    <mergeCell ref="B5:D5"/>
    <mergeCell ref="B7:C7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4"/>
  <sheetViews>
    <sheetView view="pageBreakPreview" zoomScale="80" zoomScaleNormal="80" zoomScalePageLayoutView="80" workbookViewId="0">
      <selection activeCell="E13" sqref="E13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/>
    <col min="16" max="16" width="11.85546875" style="15" customWidth="1"/>
    <col min="17" max="17" width="10.85546875" style="15" customWidth="1"/>
    <col min="18" max="18" width="10.7109375" style="15" customWidth="1"/>
    <col min="19" max="19" width="12.28515625" style="15" customWidth="1"/>
    <col min="20" max="20" width="17.42578125" style="15" customWidth="1"/>
    <col min="21" max="257" width="9.140625" style="15"/>
  </cols>
  <sheetData>
    <row r="1" spans="1:20" s="19" customFormat="1" ht="12.75" customHeight="1">
      <c r="G1" s="20"/>
      <c r="H1" s="20"/>
      <c r="I1" s="20"/>
      <c r="J1" s="20"/>
      <c r="K1" s="20"/>
      <c r="M1" s="17"/>
      <c r="N1" s="18"/>
    </row>
    <row r="2" spans="1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1:20" s="21" customFormat="1" ht="19.5" customHeight="1">
      <c r="B3" s="14" t="str">
        <f>' (смета) (4)'!B3:K3</f>
        <v xml:space="preserve">                 На  2024-2025 учебный год  (сентябрь -май)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1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G20</f>
        <v>36000</v>
      </c>
      <c r="Q4" s="29">
        <f>H20+I20+J20+K20</f>
        <v>36000</v>
      </c>
      <c r="R4" s="29">
        <f>G21+G26+G58</f>
        <v>36000</v>
      </c>
      <c r="S4" s="30">
        <f>'калькуляция (5)'!D45</f>
        <v>36000</v>
      </c>
      <c r="T4" s="31">
        <f>'резерв отпускных (5)'!D10+'резерв отпускных (5)'!D11+'резерв отпускных (5)'!D14+'резерв отпускных (5)'!D15</f>
        <v>21598.000000000004</v>
      </c>
    </row>
    <row r="5" spans="1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1:20" s="32" customFormat="1" ht="30.75" customHeight="1">
      <c r="B6" s="33" t="s">
        <v>7</v>
      </c>
      <c r="C6" s="34"/>
      <c r="D6" s="271" t="s">
        <v>186</v>
      </c>
      <c r="E6" s="34"/>
      <c r="F6" s="34"/>
      <c r="G6" s="34"/>
      <c r="H6" s="34"/>
      <c r="I6" s="34"/>
      <c r="J6" s="34"/>
      <c r="K6" s="34"/>
      <c r="M6" s="35"/>
      <c r="N6" s="36"/>
      <c r="P6" s="37">
        <f>E16-P4</f>
        <v>0</v>
      </c>
      <c r="Q6" s="37">
        <f>E16-Q4</f>
        <v>0</v>
      </c>
      <c r="R6" s="37">
        <f>E16-R4</f>
        <v>0</v>
      </c>
      <c r="S6" s="37">
        <f>E16-S4</f>
        <v>0</v>
      </c>
      <c r="T6" s="37">
        <f>G21-T4</f>
        <v>1.999999999996362</v>
      </c>
    </row>
    <row r="7" spans="1:20" s="19" customFormat="1" ht="18" customHeight="1">
      <c r="B7" s="38" t="s">
        <v>9</v>
      </c>
      <c r="C7" s="263"/>
      <c r="D7" s="263" t="s">
        <v>187</v>
      </c>
      <c r="E7" s="40"/>
      <c r="F7" s="63"/>
      <c r="G7" s="41"/>
      <c r="H7" s="20"/>
      <c r="I7" s="20"/>
      <c r="J7" s="20"/>
      <c r="K7" s="20"/>
      <c r="M7" s="17"/>
      <c r="N7" s="18"/>
    </row>
    <row r="8" spans="1:20" s="19" customFormat="1" ht="27" customHeight="1">
      <c r="B8" s="19" t="s">
        <v>11</v>
      </c>
      <c r="E8" s="42">
        <v>1</v>
      </c>
      <c r="F8" s="15"/>
      <c r="G8" s="20"/>
      <c r="H8" s="20"/>
      <c r="I8" s="20"/>
      <c r="J8" s="20"/>
      <c r="K8" s="20"/>
      <c r="M8" s="17"/>
      <c r="N8" s="18"/>
    </row>
    <row r="9" spans="1:20" s="19" customFormat="1" ht="18" customHeight="1">
      <c r="B9" s="19" t="s">
        <v>188</v>
      </c>
      <c r="E9" s="42">
        <v>2</v>
      </c>
      <c r="F9" s="43"/>
      <c r="G9" s="20"/>
      <c r="H9" s="20"/>
      <c r="I9" s="20"/>
      <c r="J9" s="20"/>
      <c r="K9" s="20"/>
      <c r="M9" s="17"/>
      <c r="N9" s="44"/>
      <c r="O9" s="45"/>
    </row>
    <row r="10" spans="1:20" s="19" customFormat="1" ht="18" customHeight="1">
      <c r="B10" s="19" t="s">
        <v>14</v>
      </c>
      <c r="E10" s="42"/>
      <c r="F10" s="43"/>
      <c r="G10" s="46"/>
      <c r="H10" s="20"/>
      <c r="I10" s="20"/>
      <c r="J10" s="20"/>
      <c r="K10" s="20"/>
      <c r="M10" s="17"/>
      <c r="N10" s="18"/>
    </row>
    <row r="11" spans="1:20" s="19" customFormat="1" ht="18" customHeight="1">
      <c r="B11" s="19" t="s">
        <v>15</v>
      </c>
      <c r="E11" s="47">
        <f>G13</f>
        <v>36</v>
      </c>
      <c r="F11" s="43"/>
      <c r="G11" s="20"/>
      <c r="H11" s="20"/>
      <c r="I11" s="20"/>
      <c r="J11" s="20"/>
      <c r="K11" s="20"/>
      <c r="M11" s="17"/>
      <c r="N11" s="18"/>
    </row>
    <row r="12" spans="1:20" s="19" customFormat="1" ht="18" customHeight="1">
      <c r="B12" s="19" t="s">
        <v>177</v>
      </c>
      <c r="E12" s="48">
        <f>E8*E9*E11</f>
        <v>72</v>
      </c>
      <c r="F12" s="43"/>
      <c r="G12" s="20"/>
      <c r="H12" s="20"/>
      <c r="I12" s="20"/>
      <c r="J12" s="20"/>
      <c r="K12" s="20"/>
      <c r="M12" s="17"/>
      <c r="N12" s="18"/>
    </row>
    <row r="13" spans="1:20" s="19" customFormat="1" ht="18" customHeight="1">
      <c r="B13" s="19" t="s">
        <v>17</v>
      </c>
      <c r="E13" s="42">
        <f>E9*E11</f>
        <v>72</v>
      </c>
      <c r="G13" s="49">
        <f>H13+I13+J13+K13</f>
        <v>36</v>
      </c>
      <c r="H13" s="49">
        <v>4</v>
      </c>
      <c r="I13" s="49">
        <v>12</v>
      </c>
      <c r="J13" s="49">
        <v>12</v>
      </c>
      <c r="K13" s="49">
        <v>8</v>
      </c>
      <c r="M13" s="17"/>
      <c r="N13" s="18"/>
    </row>
    <row r="14" spans="1:20" s="19" customFormat="1" ht="18" customHeight="1">
      <c r="B14" s="19" t="s">
        <v>20</v>
      </c>
      <c r="E14" s="42">
        <v>500</v>
      </c>
      <c r="F14" s="43"/>
      <c r="G14" s="51"/>
      <c r="H14" s="51"/>
      <c r="I14" s="51"/>
      <c r="J14" s="51"/>
      <c r="K14" s="51"/>
      <c r="M14" s="17"/>
      <c r="N14" s="18"/>
    </row>
    <row r="15" spans="1:20" s="19" customFormat="1" ht="21" customHeight="1">
      <c r="B15" s="19" t="s">
        <v>21</v>
      </c>
      <c r="E15" s="42">
        <f>E9*E11*E14</f>
        <v>36000</v>
      </c>
      <c r="F15" s="19" t="s">
        <v>19</v>
      </c>
      <c r="G15" s="51"/>
      <c r="H15" s="51"/>
      <c r="I15" s="51"/>
      <c r="J15" s="51"/>
      <c r="K15" s="51"/>
      <c r="M15" s="17"/>
      <c r="N15" s="18"/>
    </row>
    <row r="16" spans="1:20" s="19" customFormat="1" ht="18" customHeight="1">
      <c r="A16" s="52"/>
      <c r="B16" s="52" t="s">
        <v>22</v>
      </c>
      <c r="C16" s="53"/>
      <c r="D16" s="53"/>
      <c r="E16" s="54">
        <f>E15*E8</f>
        <v>36000</v>
      </c>
      <c r="F16" s="53"/>
      <c r="G16" s="51"/>
      <c r="H16" s="51"/>
      <c r="I16" s="51"/>
      <c r="J16" s="51"/>
      <c r="K16" s="51"/>
      <c r="L16" s="19" t="s">
        <v>23</v>
      </c>
      <c r="M16" s="17"/>
      <c r="N16" s="18"/>
    </row>
    <row r="17" spans="1:24" s="19" customFormat="1" ht="18" customHeight="1">
      <c r="A17" s="52"/>
      <c r="B17" s="52"/>
      <c r="C17" s="53"/>
      <c r="D17" s="53"/>
      <c r="E17" s="55"/>
      <c r="F17" s="53"/>
      <c r="G17" s="51"/>
      <c r="H17" s="51"/>
      <c r="I17" s="51"/>
      <c r="J17" s="51"/>
      <c r="K17" s="51"/>
      <c r="M17" s="17"/>
      <c r="N17" s="18"/>
    </row>
    <row r="18" spans="1:24" s="19" customFormat="1" ht="18" customHeight="1">
      <c r="A18" s="52"/>
      <c r="B18" s="56" t="s">
        <v>24</v>
      </c>
      <c r="C18" s="57"/>
      <c r="D18" s="57"/>
      <c r="E18" s="57"/>
      <c r="F18" s="57"/>
      <c r="G18" s="58"/>
      <c r="H18" s="12">
        <v>2024</v>
      </c>
      <c r="I18" s="12"/>
      <c r="J18" s="11">
        <v>2025</v>
      </c>
      <c r="K18" s="11"/>
      <c r="L18" s="61" t="s">
        <v>25</v>
      </c>
      <c r="M18" s="17"/>
      <c r="N18" s="10" t="s">
        <v>26</v>
      </c>
      <c r="P18" s="62"/>
      <c r="Q18" s="63"/>
      <c r="R18" s="64"/>
      <c r="S18" s="64"/>
      <c r="T18" s="63"/>
      <c r="U18" s="63"/>
      <c r="V18" s="63"/>
      <c r="W18" s="63"/>
    </row>
    <row r="19" spans="1:24" s="19" customFormat="1" ht="18" customHeight="1">
      <c r="A19" s="52"/>
      <c r="B19" s="65"/>
      <c r="C19" s="66" t="s">
        <v>27</v>
      </c>
      <c r="D19" s="52"/>
      <c r="E19" s="52"/>
      <c r="F19" s="52"/>
      <c r="G19" s="67"/>
      <c r="H19" s="49" t="s">
        <v>28</v>
      </c>
      <c r="I19" s="49" t="s">
        <v>29</v>
      </c>
      <c r="J19" s="49" t="s">
        <v>30</v>
      </c>
      <c r="K19" s="49" t="s">
        <v>31</v>
      </c>
      <c r="L19" s="68" t="s">
        <v>32</v>
      </c>
      <c r="M19" s="17"/>
      <c r="N19" s="10"/>
    </row>
    <row r="20" spans="1:24" s="63" customFormat="1" ht="30" customHeight="1">
      <c r="B20" s="69"/>
      <c r="C20" s="70"/>
      <c r="D20" s="70"/>
      <c r="E20" s="70"/>
      <c r="F20" s="70"/>
      <c r="G20" s="71">
        <f>E16</f>
        <v>36000</v>
      </c>
      <c r="H20" s="72">
        <f>E16/G13*H13</f>
        <v>4000</v>
      </c>
      <c r="I20" s="72">
        <f>E16/G13*I13</f>
        <v>12000</v>
      </c>
      <c r="J20" s="72">
        <f>E16/G13*J13</f>
        <v>12000</v>
      </c>
      <c r="K20" s="72">
        <f>E16/G13*K13</f>
        <v>8000</v>
      </c>
      <c r="L20" s="73">
        <f>E14</f>
        <v>500</v>
      </c>
      <c r="M20" s="74" t="e">
        <f>G20/N9</f>
        <v>#DIV/0!</v>
      </c>
      <c r="N20" s="75">
        <f>G20/G20</f>
        <v>1</v>
      </c>
      <c r="O20" s="32"/>
      <c r="P20" s="19"/>
      <c r="Q20" s="19"/>
      <c r="R20" s="19"/>
      <c r="S20" s="19"/>
      <c r="T20" s="19"/>
      <c r="U20" s="19"/>
      <c r="V20" s="19"/>
      <c r="W20" s="19"/>
    </row>
    <row r="21" spans="1:24" s="19" customFormat="1" ht="24.95" customHeight="1">
      <c r="B21" s="78" t="s">
        <v>33</v>
      </c>
      <c r="C21" s="79"/>
      <c r="D21" s="79"/>
      <c r="E21" s="79"/>
      <c r="F21" s="79"/>
      <c r="G21" s="80">
        <f>+H21+I21+J21+K21</f>
        <v>21600</v>
      </c>
      <c r="H21" s="80">
        <f>H20*0.6</f>
        <v>2400</v>
      </c>
      <c r="I21" s="80">
        <f>I20*0.6</f>
        <v>7200</v>
      </c>
      <c r="J21" s="80">
        <f>J20*0.6</f>
        <v>7200</v>
      </c>
      <c r="K21" s="80">
        <f>K20*0.6</f>
        <v>4800</v>
      </c>
      <c r="L21" s="81"/>
      <c r="M21" s="74">
        <f>G21/8208</f>
        <v>2.6315789473684212</v>
      </c>
      <c r="N21" s="82">
        <f>G21/G20</f>
        <v>0.6</v>
      </c>
      <c r="O21" s="83"/>
      <c r="X21" s="84"/>
    </row>
    <row r="22" spans="1:24" s="19" customFormat="1" ht="17.25" customHeight="1">
      <c r="B22" s="85"/>
      <c r="C22" s="86"/>
      <c r="D22" s="86"/>
      <c r="E22" s="86"/>
      <c r="F22" s="87"/>
      <c r="G22" s="49"/>
      <c r="H22" s="58">
        <v>0</v>
      </c>
      <c r="I22" s="58"/>
      <c r="J22" s="58"/>
      <c r="K22" s="58"/>
      <c r="L22" s="88" t="e">
        <f>M22</f>
        <v>#DIV/0!</v>
      </c>
      <c r="M22" s="74" t="e">
        <f>G22/N9</f>
        <v>#DIV/0!</v>
      </c>
      <c r="N22" s="82"/>
      <c r="P22" s="89" t="s">
        <v>34</v>
      </c>
      <c r="Q22" s="90"/>
      <c r="R22" s="90"/>
      <c r="S22" s="90"/>
      <c r="T22" s="91"/>
      <c r="U22" s="52"/>
      <c r="V22" s="52"/>
    </row>
    <row r="23" spans="1:24" s="19" customFormat="1" ht="17.25" customHeight="1">
      <c r="A23" s="19" t="s">
        <v>35</v>
      </c>
      <c r="B23" s="92" t="s">
        <v>36</v>
      </c>
      <c r="C23" s="93"/>
      <c r="D23" s="93"/>
      <c r="E23" s="93"/>
      <c r="F23" s="93"/>
      <c r="G23" s="49">
        <f t="shared" ref="G23:G33" si="0">SUM(H23:K23)</f>
        <v>16589.861751152075</v>
      </c>
      <c r="H23" s="49">
        <f>H21/1.302</f>
        <v>1843.3179723502303</v>
      </c>
      <c r="I23" s="49">
        <f>I21/1.302</f>
        <v>5529.9539170506914</v>
      </c>
      <c r="J23" s="49">
        <f>J21/1.302</f>
        <v>5529.9539170506914</v>
      </c>
      <c r="K23" s="49">
        <f>K21/1.302</f>
        <v>3686.6359447004606</v>
      </c>
      <c r="L23" s="94" t="e">
        <f>M23</f>
        <v>#DIV/0!</v>
      </c>
      <c r="M23" s="74" t="e">
        <f>G23/N9</f>
        <v>#DIV/0!</v>
      </c>
      <c r="N23" s="82"/>
      <c r="P23" s="95" t="s">
        <v>37</v>
      </c>
      <c r="Q23" s="96">
        <f>E14*0.546/1.302/1.1357/1.3</f>
        <v>142.01842262978352</v>
      </c>
      <c r="R23" s="97" t="s">
        <v>38</v>
      </c>
      <c r="S23" s="97"/>
      <c r="T23" s="98" t="s">
        <v>39</v>
      </c>
      <c r="U23" s="97"/>
      <c r="V23" s="97"/>
      <c r="X23" s="84"/>
    </row>
    <row r="24" spans="1:24" s="19" customFormat="1" ht="17.25" hidden="1" customHeight="1">
      <c r="A24" s="32" t="s">
        <v>40</v>
      </c>
      <c r="B24" s="99" t="s">
        <v>41</v>
      </c>
      <c r="C24" s="99"/>
      <c r="D24" s="93"/>
      <c r="E24" s="93"/>
      <c r="F24" s="93"/>
      <c r="G24" s="49">
        <f t="shared" si="0"/>
        <v>0</v>
      </c>
      <c r="H24" s="49"/>
      <c r="I24" s="49"/>
      <c r="J24" s="49"/>
      <c r="K24" s="49"/>
      <c r="L24" s="100"/>
      <c r="M24" s="74">
        <f>G24/5760</f>
        <v>0</v>
      </c>
      <c r="N24" s="82"/>
      <c r="P24" s="101"/>
      <c r="Q24" s="52"/>
      <c r="R24" s="52"/>
      <c r="S24" s="52"/>
      <c r="T24" s="102"/>
      <c r="U24" s="52"/>
      <c r="V24" s="52"/>
    </row>
    <row r="25" spans="1:24" s="19" customFormat="1" ht="17.25" customHeight="1">
      <c r="A25" s="32" t="s">
        <v>40</v>
      </c>
      <c r="B25" s="103" t="s">
        <v>42</v>
      </c>
      <c r="C25" s="104"/>
      <c r="D25" s="105"/>
      <c r="E25" s="105"/>
      <c r="F25" s="105"/>
      <c r="G25" s="49">
        <f t="shared" si="0"/>
        <v>5010.1382488479267</v>
      </c>
      <c r="H25" s="49">
        <f>H21-H23</f>
        <v>556.68202764976968</v>
      </c>
      <c r="I25" s="49">
        <f>I21-I23</f>
        <v>1670.0460829493086</v>
      </c>
      <c r="J25" s="49">
        <f>J21-J23</f>
        <v>1670.0460829493086</v>
      </c>
      <c r="K25" s="49">
        <f>K21-K23</f>
        <v>1113.3640552995394</v>
      </c>
      <c r="L25" s="106" t="e">
        <f>M25</f>
        <v>#DIV/0!</v>
      </c>
      <c r="M25" s="74" t="e">
        <f t="shared" ref="M25:M33" si="1">G25/$N$9</f>
        <v>#DIV/0!</v>
      </c>
      <c r="N25" s="82"/>
      <c r="P25" s="107" t="s">
        <v>43</v>
      </c>
      <c r="Q25" s="108">
        <f>E14*0.054/1.302/1.1357/1.3</f>
        <v>14.045778062286283</v>
      </c>
      <c r="R25" s="109" t="s">
        <v>38</v>
      </c>
      <c r="S25" s="109"/>
      <c r="T25" s="110" t="s">
        <v>44</v>
      </c>
      <c r="U25" s="52"/>
      <c r="V25" s="52"/>
    </row>
    <row r="26" spans="1:24" s="19" customFormat="1" ht="24.95" customHeight="1">
      <c r="B26" s="111" t="s">
        <v>45</v>
      </c>
      <c r="C26" s="112"/>
      <c r="D26" s="112"/>
      <c r="E26" s="112"/>
      <c r="F26" s="112"/>
      <c r="G26" s="113">
        <f t="shared" si="0"/>
        <v>5868</v>
      </c>
      <c r="H26" s="80">
        <f>H27+H28+H29+H42+H43+H48</f>
        <v>652</v>
      </c>
      <c r="I26" s="80">
        <f>I27+I28+I29+I42+I43+I48</f>
        <v>1956</v>
      </c>
      <c r="J26" s="80">
        <f>J27+J28+J29+J42+J43+J48</f>
        <v>1956</v>
      </c>
      <c r="K26" s="80">
        <f>K27+K28+K29+K42+K43+K48</f>
        <v>1304</v>
      </c>
      <c r="L26" s="114" t="e">
        <f>L27+L28+L29+L42+L43+L48</f>
        <v>#DIV/0!</v>
      </c>
      <c r="M26" s="74" t="e">
        <f t="shared" si="1"/>
        <v>#DIV/0!</v>
      </c>
      <c r="N26" s="82"/>
      <c r="P26" s="17"/>
    </row>
    <row r="27" spans="1:24" s="115" customFormat="1" ht="17.25" hidden="1" customHeight="1">
      <c r="B27" s="116" t="s">
        <v>46</v>
      </c>
      <c r="C27" s="117"/>
      <c r="D27" s="117"/>
      <c r="E27" s="117"/>
      <c r="F27" s="117"/>
      <c r="G27" s="49">
        <f t="shared" si="0"/>
        <v>0</v>
      </c>
      <c r="H27" s="49"/>
      <c r="I27" s="49"/>
      <c r="J27" s="49"/>
      <c r="K27" s="118"/>
      <c r="L27" s="119">
        <f>(H27/3*$L$20)/($H$20/3)</f>
        <v>0</v>
      </c>
      <c r="M27" s="74" t="e">
        <f t="shared" si="1"/>
        <v>#DIV/0!</v>
      </c>
      <c r="N27" s="82"/>
      <c r="O27" s="32"/>
    </row>
    <row r="28" spans="1:24" s="115" customFormat="1" ht="17.25" hidden="1" customHeight="1">
      <c r="B28" s="116" t="s">
        <v>47</v>
      </c>
      <c r="C28" s="117"/>
      <c r="D28" s="117"/>
      <c r="E28" s="117"/>
      <c r="F28" s="117"/>
      <c r="G28" s="49">
        <f t="shared" si="0"/>
        <v>0</v>
      </c>
      <c r="H28" s="49"/>
      <c r="I28" s="49"/>
      <c r="J28" s="49"/>
      <c r="K28" s="49"/>
      <c r="L28" s="119"/>
      <c r="M28" s="74" t="e">
        <f t="shared" si="1"/>
        <v>#DIV/0!</v>
      </c>
      <c r="N28" s="82"/>
      <c r="O28" s="32"/>
    </row>
    <row r="29" spans="1:24" s="115" customFormat="1" ht="17.25" customHeight="1">
      <c r="B29" s="120" t="s">
        <v>48</v>
      </c>
      <c r="C29" s="121"/>
      <c r="D29" s="121"/>
      <c r="E29" s="121"/>
      <c r="F29" s="121"/>
      <c r="G29" s="59">
        <f t="shared" si="0"/>
        <v>3600</v>
      </c>
      <c r="H29" s="49">
        <f>H30+H33+H37</f>
        <v>400</v>
      </c>
      <c r="I29" s="49">
        <f>I30+I33+I37</f>
        <v>1200</v>
      </c>
      <c r="J29" s="49">
        <f>SUM(J30:J37)</f>
        <v>1200</v>
      </c>
      <c r="K29" s="49">
        <f>SUM(K30:K37)</f>
        <v>800</v>
      </c>
      <c r="L29" s="106" t="e">
        <f>L30+L33+L37</f>
        <v>#DIV/0!</v>
      </c>
      <c r="M29" s="74" t="e">
        <f t="shared" si="1"/>
        <v>#DIV/0!</v>
      </c>
      <c r="N29" s="82">
        <f>G29/G20</f>
        <v>0.1</v>
      </c>
      <c r="O29" s="32"/>
    </row>
    <row r="30" spans="1:24" s="122" customFormat="1" ht="17.25" customHeight="1">
      <c r="B30" s="99" t="s">
        <v>49</v>
      </c>
      <c r="C30" s="93"/>
      <c r="D30" s="93"/>
      <c r="E30" s="123">
        <v>6.5000000000000002E-2</v>
      </c>
      <c r="F30" s="124"/>
      <c r="G30" s="125">
        <f t="shared" si="0"/>
        <v>2340</v>
      </c>
      <c r="H30" s="126">
        <f>+H20*6.5%</f>
        <v>260</v>
      </c>
      <c r="I30" s="126">
        <f>+I20*6.5%</f>
        <v>780</v>
      </c>
      <c r="J30" s="126">
        <f>+J20*6.5%</f>
        <v>780</v>
      </c>
      <c r="K30" s="126">
        <f>+K20*6.5%</f>
        <v>520</v>
      </c>
      <c r="L30" s="94" t="e">
        <f>M30</f>
        <v>#DIV/0!</v>
      </c>
      <c r="M30" s="74" t="e">
        <f t="shared" si="1"/>
        <v>#DIV/0!</v>
      </c>
      <c r="N30" s="82"/>
      <c r="O30" s="19"/>
    </row>
    <row r="31" spans="1:24" s="128" customFormat="1" ht="17.25" hidden="1" customHeight="1">
      <c r="B31" s="129" t="s">
        <v>50</v>
      </c>
      <c r="C31" s="130"/>
      <c r="D31" s="130" t="s">
        <v>51</v>
      </c>
      <c r="E31" s="131"/>
      <c r="F31" s="130" t="s">
        <v>52</v>
      </c>
      <c r="G31" s="132">
        <f t="shared" si="0"/>
        <v>0</v>
      </c>
      <c r="H31" s="133"/>
      <c r="I31" s="133"/>
      <c r="J31" s="133"/>
      <c r="K31" s="133"/>
      <c r="L31" s="94">
        <f>(H31/3*$L$20)/($H$20/3)</f>
        <v>0</v>
      </c>
      <c r="M31" s="74" t="e">
        <f t="shared" si="1"/>
        <v>#DIV/0!</v>
      </c>
      <c r="N31" s="149"/>
      <c r="O31" s="134"/>
    </row>
    <row r="32" spans="1:24" s="128" customFormat="1" ht="17.25" hidden="1" customHeight="1">
      <c r="B32" s="135" t="s">
        <v>53</v>
      </c>
      <c r="C32" s="136">
        <f>C31</f>
        <v>0</v>
      </c>
      <c r="D32" s="136" t="s">
        <v>54</v>
      </c>
      <c r="E32" s="137"/>
      <c r="F32" s="136"/>
      <c r="G32" s="138">
        <f t="shared" si="0"/>
        <v>0</v>
      </c>
      <c r="H32" s="133"/>
      <c r="I32" s="133"/>
      <c r="J32" s="133"/>
      <c r="K32" s="133"/>
      <c r="L32" s="94">
        <f>(H32/3*$L$20)/($H$20/3)</f>
        <v>0</v>
      </c>
      <c r="M32" s="74" t="e">
        <f t="shared" si="1"/>
        <v>#DIV/0!</v>
      </c>
      <c r="N32" s="149"/>
      <c r="O32" s="134"/>
    </row>
    <row r="33" spans="2:16" s="122" customFormat="1" ht="17.25" customHeight="1">
      <c r="B33" s="99" t="s">
        <v>55</v>
      </c>
      <c r="C33" s="93"/>
      <c r="D33" s="93"/>
      <c r="E33" s="123">
        <v>2.1000000000000001E-2</v>
      </c>
      <c r="F33" s="124"/>
      <c r="G33" s="125">
        <f t="shared" si="0"/>
        <v>756</v>
      </c>
      <c r="H33" s="126">
        <f>+H20*2.1%</f>
        <v>84</v>
      </c>
      <c r="I33" s="126">
        <f>+I20*2.1%</f>
        <v>252.00000000000003</v>
      </c>
      <c r="J33" s="126">
        <f>+J20*2.1%</f>
        <v>252.00000000000003</v>
      </c>
      <c r="K33" s="126">
        <f>+K20*2.1%</f>
        <v>168</v>
      </c>
      <c r="L33" s="94" t="e">
        <f>M33</f>
        <v>#DIV/0!</v>
      </c>
      <c r="M33" s="74" t="e">
        <f t="shared" si="1"/>
        <v>#DIV/0!</v>
      </c>
      <c r="N33" s="18"/>
      <c r="O33" s="19"/>
    </row>
    <row r="34" spans="2:16" s="128" customFormat="1" ht="15.75" hidden="1" customHeight="1">
      <c r="B34" s="139"/>
      <c r="C34" s="130"/>
      <c r="D34" s="130">
        <f>1.44*24*3</f>
        <v>103.68</v>
      </c>
      <c r="E34" s="131" t="s">
        <v>56</v>
      </c>
      <c r="F34" s="140"/>
      <c r="G34" s="141"/>
      <c r="H34" s="133"/>
      <c r="I34" s="133"/>
      <c r="J34" s="133"/>
      <c r="K34" s="133"/>
      <c r="L34" s="94">
        <f>(H34/3*$L$20)/($H$20/3)</f>
        <v>0</v>
      </c>
      <c r="M34" s="74" t="e">
        <f>F34/$N$9</f>
        <v>#DIV/0!</v>
      </c>
      <c r="N34" s="149"/>
      <c r="O34" s="134"/>
      <c r="P34" s="128">
        <v>224</v>
      </c>
    </row>
    <row r="35" spans="2:16" s="128" customFormat="1" ht="15.75" hidden="1" customHeight="1">
      <c r="B35" s="130" t="s">
        <v>57</v>
      </c>
      <c r="C35" s="134"/>
      <c r="D35" s="130"/>
      <c r="E35" s="131"/>
      <c r="F35" s="130"/>
      <c r="G35" s="142"/>
      <c r="H35" s="133"/>
      <c r="I35" s="133"/>
      <c r="J35" s="133"/>
      <c r="K35" s="133"/>
      <c r="L35" s="94">
        <f>(H35/3*$L$20)/($H$20/3)</f>
        <v>0</v>
      </c>
      <c r="M35" s="74" t="e">
        <f t="shared" ref="M35:M61" si="2">G35/$N$9</f>
        <v>#DIV/0!</v>
      </c>
      <c r="N35" s="149"/>
      <c r="O35" s="134"/>
    </row>
    <row r="36" spans="2:16" s="128" customFormat="1" ht="15.75" hidden="1" customHeight="1">
      <c r="B36" s="143"/>
      <c r="C36" s="130" t="s">
        <v>58</v>
      </c>
      <c r="D36" s="130"/>
      <c r="E36" s="131"/>
      <c r="F36" s="143"/>
      <c r="G36" s="142" t="s">
        <v>59</v>
      </c>
      <c r="H36" s="133"/>
      <c r="I36" s="133"/>
      <c r="J36" s="133"/>
      <c r="K36" s="133"/>
      <c r="L36" s="94">
        <f>(H36/3*$L$20)/($H$20/3)</f>
        <v>0</v>
      </c>
      <c r="M36" s="74" t="e">
        <f t="shared" si="2"/>
        <v>#VALUE!</v>
      </c>
      <c r="N36" s="149"/>
      <c r="O36" s="134"/>
    </row>
    <row r="37" spans="2:16" s="122" customFormat="1" ht="17.25" customHeight="1">
      <c r="B37" s="144" t="s">
        <v>60</v>
      </c>
      <c r="C37" s="93"/>
      <c r="D37" s="93"/>
      <c r="E37" s="123">
        <v>1.4E-2</v>
      </c>
      <c r="F37" s="145"/>
      <c r="G37" s="125">
        <f>SUM(H37:K37)</f>
        <v>503.99999999999994</v>
      </c>
      <c r="H37" s="126">
        <f>+H20*1.4%</f>
        <v>55.999999999999993</v>
      </c>
      <c r="I37" s="126">
        <f>+I20*1.4%</f>
        <v>167.99999999999997</v>
      </c>
      <c r="J37" s="126">
        <f>+J20*1.4%</f>
        <v>167.99999999999997</v>
      </c>
      <c r="K37" s="126">
        <f>+K20*1.4%</f>
        <v>111.99999999999999</v>
      </c>
      <c r="L37" s="94" t="e">
        <f>M37</f>
        <v>#DIV/0!</v>
      </c>
      <c r="M37" s="74" t="e">
        <f t="shared" si="2"/>
        <v>#DIV/0!</v>
      </c>
      <c r="N37" s="18"/>
      <c r="O37" s="19"/>
    </row>
    <row r="38" spans="2:16" s="128" customFormat="1" ht="18.75" hidden="1" customHeight="1">
      <c r="B38" s="139" t="s">
        <v>61</v>
      </c>
      <c r="C38" s="130"/>
      <c r="D38" s="130">
        <f>50</f>
        <v>50</v>
      </c>
      <c r="E38" s="130" t="s">
        <v>62</v>
      </c>
      <c r="F38" s="134"/>
      <c r="G38" s="146"/>
      <c r="H38" s="147"/>
      <c r="I38" s="147"/>
      <c r="J38" s="147"/>
      <c r="K38" s="147"/>
      <c r="L38" s="148"/>
      <c r="M38" s="74" t="e">
        <f t="shared" si="2"/>
        <v>#DIV/0!</v>
      </c>
      <c r="N38" s="149"/>
      <c r="O38" s="134"/>
      <c r="P38" s="128">
        <v>224</v>
      </c>
    </row>
    <row r="39" spans="2:16" s="128" customFormat="1" ht="18.75" hidden="1" customHeight="1">
      <c r="B39" s="139" t="s">
        <v>63</v>
      </c>
      <c r="C39" s="130"/>
      <c r="D39" s="130">
        <f>50</f>
        <v>50</v>
      </c>
      <c r="E39" s="130" t="s">
        <v>62</v>
      </c>
      <c r="F39" s="134"/>
      <c r="G39" s="146"/>
      <c r="H39" s="147"/>
      <c r="I39" s="147"/>
      <c r="J39" s="147"/>
      <c r="K39" s="147">
        <f>H39</f>
        <v>0</v>
      </c>
      <c r="L39" s="148"/>
      <c r="M39" s="74" t="e">
        <f t="shared" si="2"/>
        <v>#DIV/0!</v>
      </c>
      <c r="N39" s="149"/>
      <c r="O39" s="134"/>
      <c r="P39" s="128">
        <v>224</v>
      </c>
    </row>
    <row r="40" spans="2:16" s="122" customFormat="1" ht="11.25" hidden="1" customHeight="1">
      <c r="B40" s="150"/>
      <c r="C40" s="52"/>
      <c r="D40" s="52"/>
      <c r="E40" s="52"/>
      <c r="F40" s="52"/>
      <c r="G40" s="50"/>
      <c r="H40" s="50"/>
      <c r="I40" s="67"/>
      <c r="J40" s="151"/>
      <c r="K40" s="151"/>
      <c r="L40" s="148"/>
      <c r="M40" s="74" t="e">
        <f t="shared" si="2"/>
        <v>#DIV/0!</v>
      </c>
      <c r="N40" s="18"/>
      <c r="O40" s="19"/>
    </row>
    <row r="41" spans="2:16" s="115" customFormat="1" ht="18.75" hidden="1" customHeight="1">
      <c r="B41" s="116" t="s">
        <v>64</v>
      </c>
      <c r="C41" s="117"/>
      <c r="D41" s="117"/>
      <c r="E41" s="117"/>
      <c r="F41" s="117"/>
      <c r="G41" s="59"/>
      <c r="H41" s="152"/>
      <c r="I41" s="152"/>
      <c r="J41" s="152"/>
      <c r="K41" s="153"/>
      <c r="L41" s="154"/>
      <c r="M41" s="74" t="e">
        <f t="shared" si="2"/>
        <v>#DIV/0!</v>
      </c>
      <c r="N41" s="36"/>
      <c r="O41" s="32"/>
    </row>
    <row r="42" spans="2:16" s="115" customFormat="1" ht="20.25" hidden="1" customHeight="1">
      <c r="B42" s="155"/>
      <c r="C42" s="156"/>
      <c r="D42" s="156"/>
      <c r="E42" s="156"/>
      <c r="F42" s="156"/>
      <c r="G42" s="49">
        <f t="shared" ref="G42:G52" si="3">SUM(H42:K42)</f>
        <v>0</v>
      </c>
      <c r="H42" s="157"/>
      <c r="I42" s="157"/>
      <c r="J42" s="157"/>
      <c r="K42" s="157"/>
      <c r="L42" s="119">
        <f>(H42/3*$L$20)/($H$20/3)</f>
        <v>0</v>
      </c>
      <c r="M42" s="74" t="e">
        <f t="shared" si="2"/>
        <v>#DIV/0!</v>
      </c>
      <c r="N42" s="36"/>
      <c r="O42" s="32"/>
    </row>
    <row r="43" spans="2:16" s="115" customFormat="1" ht="21" hidden="1" customHeight="1">
      <c r="B43" s="158" t="s">
        <v>65</v>
      </c>
      <c r="C43" s="159"/>
      <c r="D43" s="159"/>
      <c r="E43" s="159"/>
      <c r="F43" s="159"/>
      <c r="G43" s="49">
        <f t="shared" si="3"/>
        <v>0</v>
      </c>
      <c r="H43" s="152">
        <f>H44+H46+H47</f>
        <v>0</v>
      </c>
      <c r="I43" s="152">
        <f>I44+I46+I47</f>
        <v>0</v>
      </c>
      <c r="J43" s="152">
        <f>J44+J46+J47</f>
        <v>0</v>
      </c>
      <c r="K43" s="152">
        <f>K44+K46+K47</f>
        <v>0</v>
      </c>
      <c r="L43" s="100" t="e">
        <f>L44+L46+L47</f>
        <v>#DIV/0!</v>
      </c>
      <c r="M43" s="74" t="e">
        <f t="shared" si="2"/>
        <v>#DIV/0!</v>
      </c>
      <c r="N43" s="36"/>
      <c r="O43" s="32"/>
    </row>
    <row r="44" spans="2:16" s="160" customFormat="1" ht="15" hidden="1" customHeight="1">
      <c r="B44" s="144" t="s">
        <v>66</v>
      </c>
      <c r="C44" s="161"/>
      <c r="D44" s="161"/>
      <c r="E44" s="161"/>
      <c r="F44" s="145"/>
      <c r="G44" s="49">
        <f t="shared" si="3"/>
        <v>0</v>
      </c>
      <c r="H44" s="49"/>
      <c r="I44" s="49"/>
      <c r="J44" s="49"/>
      <c r="K44" s="49"/>
      <c r="L44" s="162">
        <f>(H44/3*$L$20)/($H$20/3)</f>
        <v>0</v>
      </c>
      <c r="M44" s="74" t="e">
        <f t="shared" si="2"/>
        <v>#DIV/0!</v>
      </c>
      <c r="N44" s="36"/>
      <c r="O44" s="32"/>
    </row>
    <row r="45" spans="2:16" s="128" customFormat="1" ht="15" hidden="1" customHeight="1">
      <c r="B45" s="139" t="s">
        <v>67</v>
      </c>
      <c r="C45" s="130"/>
      <c r="D45" s="130"/>
      <c r="E45" s="130"/>
      <c r="F45" s="130" t="s">
        <v>68</v>
      </c>
      <c r="G45" s="49">
        <f t="shared" si="3"/>
        <v>0</v>
      </c>
      <c r="H45" s="147">
        <f>ROUND(E45*0.976*1.18,1)</f>
        <v>0</v>
      </c>
      <c r="I45" s="147">
        <f>ROUND(E45*0.976*1.18,1)</f>
        <v>0</v>
      </c>
      <c r="J45" s="147">
        <f>ROUND(E45*0.976*1.18,1)</f>
        <v>0</v>
      </c>
      <c r="K45" s="147">
        <f>ROUND(E45*0.976*1.18,1)</f>
        <v>0</v>
      </c>
      <c r="L45" s="163">
        <f>(H45/3*$L$20)/($H$20/3)</f>
        <v>0</v>
      </c>
      <c r="M45" s="74" t="e">
        <f t="shared" si="2"/>
        <v>#DIV/0!</v>
      </c>
      <c r="N45" s="149"/>
      <c r="O45" s="134"/>
    </row>
    <row r="46" spans="2:16" s="122" customFormat="1" ht="15" hidden="1" customHeight="1">
      <c r="B46" s="99" t="s">
        <v>69</v>
      </c>
      <c r="C46" s="93"/>
      <c r="D46" s="93"/>
      <c r="E46" s="93"/>
      <c r="F46" s="124"/>
      <c r="G46" s="49">
        <f t="shared" si="3"/>
        <v>0</v>
      </c>
      <c r="H46" s="49"/>
      <c r="I46" s="49"/>
      <c r="J46" s="49"/>
      <c r="K46" s="49"/>
      <c r="L46" s="119" t="e">
        <f>M46</f>
        <v>#DIV/0!</v>
      </c>
      <c r="M46" s="74" t="e">
        <f t="shared" si="2"/>
        <v>#DIV/0!</v>
      </c>
      <c r="N46" s="18"/>
      <c r="O46" s="19"/>
    </row>
    <row r="47" spans="2:16" s="128" customFormat="1" ht="15" hidden="1" customHeight="1">
      <c r="B47" s="99" t="s">
        <v>70</v>
      </c>
      <c r="C47" s="164"/>
      <c r="D47" s="164"/>
      <c r="E47" s="164"/>
      <c r="F47" s="164"/>
      <c r="G47" s="49">
        <f t="shared" si="3"/>
        <v>0</v>
      </c>
      <c r="H47" s="49"/>
      <c r="I47" s="49"/>
      <c r="J47" s="49"/>
      <c r="K47" s="49"/>
      <c r="L47" s="165" t="e">
        <f>M47</f>
        <v>#DIV/0!</v>
      </c>
      <c r="M47" s="74" t="e">
        <f t="shared" si="2"/>
        <v>#DIV/0!</v>
      </c>
      <c r="N47" s="149"/>
      <c r="O47" s="134"/>
    </row>
    <row r="48" spans="2:16" s="115" customFormat="1" ht="18" customHeight="1">
      <c r="B48" s="120" t="s">
        <v>71</v>
      </c>
      <c r="C48" s="121"/>
      <c r="D48" s="121"/>
      <c r="E48" s="121"/>
      <c r="F48" s="121"/>
      <c r="G48" s="49">
        <f t="shared" si="3"/>
        <v>2268</v>
      </c>
      <c r="H48" s="49">
        <f>SUM(H49:H52)</f>
        <v>252</v>
      </c>
      <c r="I48" s="49">
        <f>SUM(I49:I52)</f>
        <v>756</v>
      </c>
      <c r="J48" s="49">
        <f>SUM(J49:J52)</f>
        <v>756</v>
      </c>
      <c r="K48" s="49">
        <f>SUM(K49:K52)</f>
        <v>504</v>
      </c>
      <c r="L48" s="119" t="e">
        <f>L49+L50+L51</f>
        <v>#DIV/0!</v>
      </c>
      <c r="M48" s="74" t="e">
        <f t="shared" si="2"/>
        <v>#DIV/0!</v>
      </c>
      <c r="N48" s="36"/>
      <c r="O48" s="32"/>
    </row>
    <row r="49" spans="1:15" s="122" customFormat="1" ht="32.25" customHeight="1">
      <c r="B49" s="9" t="s">
        <v>72</v>
      </c>
      <c r="C49" s="9"/>
      <c r="D49" s="9"/>
      <c r="E49" s="167">
        <v>0.05</v>
      </c>
      <c r="F49" s="93"/>
      <c r="G49" s="49">
        <f t="shared" si="3"/>
        <v>1800</v>
      </c>
      <c r="H49" s="49">
        <f>H20*5%</f>
        <v>200</v>
      </c>
      <c r="I49" s="49">
        <f>I20*5%</f>
        <v>600</v>
      </c>
      <c r="J49" s="49">
        <f>J20*5%</f>
        <v>600</v>
      </c>
      <c r="K49" s="49">
        <f>K20*5%</f>
        <v>400</v>
      </c>
      <c r="L49" s="165" t="e">
        <f>M49</f>
        <v>#DIV/0!</v>
      </c>
      <c r="M49" s="74" t="e">
        <f t="shared" si="2"/>
        <v>#DIV/0!</v>
      </c>
      <c r="N49" s="82">
        <f>G49/G20</f>
        <v>0.05</v>
      </c>
      <c r="O49" s="19"/>
    </row>
    <row r="50" spans="1:15" s="122" customFormat="1" ht="18.75" customHeight="1">
      <c r="B50" s="99" t="s">
        <v>73</v>
      </c>
      <c r="C50" s="105"/>
      <c r="D50" s="105"/>
      <c r="E50" s="168">
        <v>1.2999999999999999E-2</v>
      </c>
      <c r="F50" s="169"/>
      <c r="G50" s="49">
        <f t="shared" si="3"/>
        <v>468</v>
      </c>
      <c r="H50" s="49">
        <f>H20*1.3%</f>
        <v>52.000000000000007</v>
      </c>
      <c r="I50" s="49">
        <f>I20*1.3%</f>
        <v>156</v>
      </c>
      <c r="J50" s="49">
        <f>J20*1.3%</f>
        <v>156</v>
      </c>
      <c r="K50" s="49">
        <f>K20*1.3%</f>
        <v>104.00000000000001</v>
      </c>
      <c r="L50" s="100">
        <f>G50/7296</f>
        <v>6.4144736842105268E-2</v>
      </c>
      <c r="M50" s="74" t="e">
        <f t="shared" si="2"/>
        <v>#DIV/0!</v>
      </c>
      <c r="N50" s="82">
        <f>G50/G20</f>
        <v>1.2999999999999999E-2</v>
      </c>
      <c r="O50" s="19"/>
    </row>
    <row r="51" spans="1:15" s="122" customFormat="1" ht="15" hidden="1" customHeight="1">
      <c r="B51" s="99" t="s">
        <v>74</v>
      </c>
      <c r="C51" s="161"/>
      <c r="D51" s="161"/>
      <c r="E51" s="161"/>
      <c r="F51" s="161"/>
      <c r="G51" s="49">
        <f t="shared" si="3"/>
        <v>0</v>
      </c>
      <c r="H51" s="49"/>
      <c r="I51" s="49"/>
      <c r="J51" s="49"/>
      <c r="K51" s="49"/>
      <c r="L51" s="100">
        <f>L52</f>
        <v>0</v>
      </c>
      <c r="M51" s="74" t="e">
        <f t="shared" si="2"/>
        <v>#DIV/0!</v>
      </c>
      <c r="N51" s="18"/>
      <c r="O51" s="19"/>
    </row>
    <row r="52" spans="1:15" s="128" customFormat="1" ht="16.5" hidden="1" customHeight="1">
      <c r="B52" s="170" t="s">
        <v>75</v>
      </c>
      <c r="C52" s="171"/>
      <c r="D52" s="171"/>
      <c r="E52" s="172">
        <v>0.6</v>
      </c>
      <c r="F52" s="171"/>
      <c r="G52" s="49">
        <f t="shared" si="3"/>
        <v>0</v>
      </c>
      <c r="H52" s="49">
        <f>H20*60%-H21</f>
        <v>0</v>
      </c>
      <c r="I52" s="49">
        <f>I20*60%-I21</f>
        <v>0</v>
      </c>
      <c r="J52" s="49">
        <f>J20*60%-J21</f>
        <v>0</v>
      </c>
      <c r="K52" s="49">
        <f>K20*60%-K21</f>
        <v>0</v>
      </c>
      <c r="L52" s="173">
        <f>G52/1440</f>
        <v>0</v>
      </c>
      <c r="M52" s="74" t="e">
        <f t="shared" si="2"/>
        <v>#DIV/0!</v>
      </c>
      <c r="N52" s="149"/>
      <c r="O52" s="134"/>
    </row>
    <row r="53" spans="1:15" s="128" customFormat="1" ht="15" hidden="1" customHeight="1">
      <c r="B53" s="139"/>
      <c r="C53" s="130"/>
      <c r="D53" s="130"/>
      <c r="E53" s="130"/>
      <c r="F53" s="130"/>
      <c r="G53" s="59"/>
      <c r="H53" s="152"/>
      <c r="I53" s="152"/>
      <c r="J53" s="152"/>
      <c r="K53" s="153"/>
      <c r="L53" s="174"/>
      <c r="M53" s="74" t="e">
        <f t="shared" si="2"/>
        <v>#DIV/0!</v>
      </c>
      <c r="N53" s="149"/>
      <c r="O53" s="134"/>
    </row>
    <row r="54" spans="1:15" s="19" customFormat="1" ht="15" hidden="1" customHeight="1">
      <c r="A54" s="52"/>
      <c r="B54" s="175" t="s">
        <v>76</v>
      </c>
      <c r="C54" s="176"/>
      <c r="D54" s="176"/>
      <c r="E54" s="176"/>
      <c r="F54" s="176"/>
      <c r="G54" s="59">
        <f t="shared" ref="G54:L54" si="4">G55+G56</f>
        <v>0</v>
      </c>
      <c r="H54" s="59">
        <f t="shared" si="4"/>
        <v>0</v>
      </c>
      <c r="I54" s="59">
        <f t="shared" si="4"/>
        <v>0</v>
      </c>
      <c r="J54" s="59">
        <f t="shared" si="4"/>
        <v>0</v>
      </c>
      <c r="K54" s="59">
        <f t="shared" si="4"/>
        <v>0</v>
      </c>
      <c r="L54" s="177" t="e">
        <f t="shared" si="4"/>
        <v>#DIV/0!</v>
      </c>
      <c r="M54" s="74" t="e">
        <f t="shared" si="2"/>
        <v>#DIV/0!</v>
      </c>
      <c r="N54" s="18"/>
    </row>
    <row r="55" spans="1:15" s="19" customFormat="1" ht="15" hidden="1" customHeight="1">
      <c r="A55" s="52"/>
      <c r="B55" s="139" t="s">
        <v>77</v>
      </c>
      <c r="C55" s="178"/>
      <c r="D55" s="178"/>
      <c r="E55" s="178"/>
      <c r="F55" s="178"/>
      <c r="G55" s="49"/>
      <c r="H55" s="49"/>
      <c r="I55" s="49"/>
      <c r="J55" s="49"/>
      <c r="K55" s="49"/>
      <c r="L55" s="177" t="e">
        <f>M55</f>
        <v>#DIV/0!</v>
      </c>
      <c r="M55" s="74" t="e">
        <f t="shared" si="2"/>
        <v>#DIV/0!</v>
      </c>
      <c r="N55" s="18"/>
    </row>
    <row r="56" spans="1:15" s="19" customFormat="1" ht="15" hidden="1" customHeight="1">
      <c r="A56" s="52"/>
      <c r="B56" s="155" t="s">
        <v>78</v>
      </c>
      <c r="C56" s="179"/>
      <c r="D56" s="179"/>
      <c r="E56" s="179"/>
      <c r="F56" s="180"/>
      <c r="G56" s="58">
        <f t="shared" ref="G56:G71" si="5">SUM(H56:K56)</f>
        <v>0</v>
      </c>
      <c r="H56" s="58"/>
      <c r="I56" s="181"/>
      <c r="J56" s="58"/>
      <c r="K56" s="182"/>
      <c r="L56" s="174" t="e">
        <f>M56</f>
        <v>#DIV/0!</v>
      </c>
      <c r="M56" s="74" t="e">
        <f t="shared" si="2"/>
        <v>#DIV/0!</v>
      </c>
      <c r="N56" s="18"/>
    </row>
    <row r="57" spans="1:15" s="19" customFormat="1" ht="15" hidden="1" customHeight="1">
      <c r="A57" s="52"/>
      <c r="B57" s="183"/>
      <c r="C57" s="184"/>
      <c r="D57" s="184"/>
      <c r="E57" s="184"/>
      <c r="F57" s="184"/>
      <c r="G57" s="185">
        <f t="shared" si="5"/>
        <v>0</v>
      </c>
      <c r="H57" s="185"/>
      <c r="I57" s="185"/>
      <c r="J57" s="185"/>
      <c r="K57" s="185"/>
      <c r="L57" s="186">
        <f>G57/7296</f>
        <v>0</v>
      </c>
      <c r="M57" s="74" t="e">
        <f t="shared" si="2"/>
        <v>#DIV/0!</v>
      </c>
      <c r="N57" s="18"/>
    </row>
    <row r="58" spans="1:15" s="19" customFormat="1" ht="24.95" customHeight="1">
      <c r="A58" s="52"/>
      <c r="B58" s="187" t="s">
        <v>79</v>
      </c>
      <c r="C58" s="188"/>
      <c r="D58" s="188"/>
      <c r="E58" s="188"/>
      <c r="F58" s="188"/>
      <c r="G58" s="113">
        <f t="shared" si="5"/>
        <v>8532</v>
      </c>
      <c r="H58" s="113">
        <f>H65+H59</f>
        <v>948</v>
      </c>
      <c r="I58" s="113">
        <f>I65+I59</f>
        <v>2844</v>
      </c>
      <c r="J58" s="113">
        <f>J65+J59</f>
        <v>2844</v>
      </c>
      <c r="K58" s="113">
        <f>K65+K59</f>
        <v>1896</v>
      </c>
      <c r="L58" s="189" t="e">
        <f>L65+L59</f>
        <v>#DIV/0!</v>
      </c>
      <c r="M58" s="74" t="e">
        <f t="shared" si="2"/>
        <v>#DIV/0!</v>
      </c>
      <c r="N58" s="82">
        <f>G58/G20</f>
        <v>0.23699999999999999</v>
      </c>
    </row>
    <row r="59" spans="1:15" s="32" customFormat="1" ht="17.25" customHeight="1">
      <c r="B59" s="190" t="s">
        <v>80</v>
      </c>
      <c r="C59" s="117"/>
      <c r="D59" s="117"/>
      <c r="E59" s="117"/>
      <c r="F59" s="117"/>
      <c r="G59" s="191">
        <f t="shared" si="5"/>
        <v>8532</v>
      </c>
      <c r="H59" s="191">
        <f>H60</f>
        <v>948</v>
      </c>
      <c r="I59" s="191">
        <f>I60</f>
        <v>2844</v>
      </c>
      <c r="J59" s="191">
        <f>J60</f>
        <v>2844</v>
      </c>
      <c r="K59" s="191">
        <f>K60</f>
        <v>1896</v>
      </c>
      <c r="L59" s="192" t="e">
        <f>M59</f>
        <v>#DIV/0!</v>
      </c>
      <c r="M59" s="74" t="e">
        <f t="shared" si="2"/>
        <v>#DIV/0!</v>
      </c>
      <c r="N59" s="36"/>
    </row>
    <row r="60" spans="1:15" s="160" customFormat="1" ht="17.25" customHeight="1">
      <c r="B60" s="99" t="s">
        <v>81</v>
      </c>
      <c r="C60" s="93"/>
      <c r="D60" s="93"/>
      <c r="E60" s="93"/>
      <c r="F60" s="93"/>
      <c r="G60" s="49">
        <f t="shared" si="5"/>
        <v>8532</v>
      </c>
      <c r="H60" s="49">
        <f>H20*23.7%</f>
        <v>948</v>
      </c>
      <c r="I60" s="49">
        <f>I20*23.7%</f>
        <v>2844</v>
      </c>
      <c r="J60" s="49">
        <f>J20*23.7%</f>
        <v>2844</v>
      </c>
      <c r="K60" s="49">
        <f>K20*23.7%</f>
        <v>1896</v>
      </c>
      <c r="L60" s="192" t="e">
        <f>G60/$N$9</f>
        <v>#DIV/0!</v>
      </c>
      <c r="M60" s="74" t="e">
        <f t="shared" si="2"/>
        <v>#DIV/0!</v>
      </c>
      <c r="N60" s="36"/>
      <c r="O60" s="32"/>
    </row>
    <row r="61" spans="1:15" s="160" customFormat="1" ht="17.25" hidden="1" customHeight="1">
      <c r="B61" s="99" t="s">
        <v>82</v>
      </c>
      <c r="C61" s="93"/>
      <c r="D61" s="93"/>
      <c r="E61" s="93"/>
      <c r="F61" s="93"/>
      <c r="G61" s="49">
        <f t="shared" si="5"/>
        <v>0</v>
      </c>
      <c r="H61" s="49"/>
      <c r="I61" s="49"/>
      <c r="J61" s="49"/>
      <c r="K61" s="49"/>
      <c r="L61" s="193" t="e">
        <f>G61/$N$9</f>
        <v>#DIV/0!</v>
      </c>
      <c r="M61" s="74" t="e">
        <f t="shared" si="2"/>
        <v>#DIV/0!</v>
      </c>
      <c r="N61" s="36"/>
      <c r="O61" s="32"/>
    </row>
    <row r="62" spans="1:15" s="160" customFormat="1" ht="17.25" hidden="1" customHeight="1">
      <c r="B62" s="144" t="s">
        <v>83</v>
      </c>
      <c r="C62" s="161"/>
      <c r="D62" s="161"/>
      <c r="E62" s="161"/>
      <c r="F62" s="161"/>
      <c r="G62" s="49">
        <f t="shared" si="5"/>
        <v>0</v>
      </c>
      <c r="H62" s="49"/>
      <c r="I62" s="49"/>
      <c r="J62" s="49"/>
      <c r="K62" s="49"/>
      <c r="L62" s="193"/>
      <c r="M62" s="74"/>
      <c r="N62" s="36"/>
      <c r="O62" s="32"/>
    </row>
    <row r="63" spans="1:15" s="122" customFormat="1" ht="17.25" hidden="1" customHeight="1">
      <c r="B63" s="144" t="s">
        <v>84</v>
      </c>
      <c r="C63" s="161"/>
      <c r="D63" s="161"/>
      <c r="E63" s="161"/>
      <c r="F63" s="161"/>
      <c r="G63" s="49">
        <f t="shared" si="5"/>
        <v>0</v>
      </c>
      <c r="H63" s="49"/>
      <c r="I63" s="49"/>
      <c r="J63" s="49"/>
      <c r="K63" s="49"/>
      <c r="L63" s="193" t="e">
        <f>M63</f>
        <v>#DIV/0!</v>
      </c>
      <c r="M63" s="74" t="e">
        <f t="shared" ref="M63:M71" si="6">G63/$N$9</f>
        <v>#DIV/0!</v>
      </c>
      <c r="N63" s="18"/>
      <c r="O63" s="19"/>
    </row>
    <row r="64" spans="1:15" s="122" customFormat="1" ht="17.25" hidden="1" customHeight="1">
      <c r="B64" s="99" t="s">
        <v>85</v>
      </c>
      <c r="C64" s="93"/>
      <c r="D64" s="93"/>
      <c r="E64" s="93"/>
      <c r="F64" s="93"/>
      <c r="G64" s="49">
        <f t="shared" si="5"/>
        <v>0</v>
      </c>
      <c r="H64" s="49"/>
      <c r="I64" s="49"/>
      <c r="J64" s="49"/>
      <c r="K64" s="49"/>
      <c r="L64" s="193" t="e">
        <f>G64/$N$9</f>
        <v>#DIV/0!</v>
      </c>
      <c r="M64" s="74" t="e">
        <f t="shared" si="6"/>
        <v>#DIV/0!</v>
      </c>
      <c r="N64" s="18"/>
      <c r="O64" s="19"/>
    </row>
    <row r="65" spans="2:15" s="115" customFormat="1" ht="16.5" hidden="1" customHeight="1">
      <c r="B65" s="120" t="s">
        <v>86</v>
      </c>
      <c r="C65" s="121"/>
      <c r="D65" s="121"/>
      <c r="E65" s="121"/>
      <c r="F65" s="121"/>
      <c r="G65" s="49">
        <f t="shared" si="5"/>
        <v>0</v>
      </c>
      <c r="H65" s="49"/>
      <c r="I65" s="49"/>
      <c r="J65" s="49"/>
      <c r="K65" s="49"/>
      <c r="L65" s="192" t="e">
        <f>L67+L68+L69</f>
        <v>#DIV/0!</v>
      </c>
      <c r="M65" s="74" t="e">
        <f t="shared" si="6"/>
        <v>#DIV/0!</v>
      </c>
      <c r="N65" s="36"/>
      <c r="O65" s="32"/>
    </row>
    <row r="66" spans="2:15" s="160" customFormat="1" ht="15" hidden="1" customHeight="1">
      <c r="B66" s="99" t="s">
        <v>87</v>
      </c>
      <c r="C66" s="194"/>
      <c r="D66" s="194"/>
      <c r="E66" s="194"/>
      <c r="F66" s="194"/>
      <c r="G66" s="49">
        <f t="shared" si="5"/>
        <v>0</v>
      </c>
      <c r="H66" s="49"/>
      <c r="I66" s="49"/>
      <c r="J66" s="49"/>
      <c r="K66" s="49"/>
      <c r="L66" s="193" t="e">
        <f>G66/$N$9</f>
        <v>#DIV/0!</v>
      </c>
      <c r="M66" s="74" t="e">
        <f t="shared" si="6"/>
        <v>#DIV/0!</v>
      </c>
      <c r="N66" s="36"/>
      <c r="O66" s="32"/>
    </row>
    <row r="67" spans="2:15" s="160" customFormat="1" ht="15" hidden="1" customHeight="1">
      <c r="B67" s="99" t="s">
        <v>88</v>
      </c>
      <c r="C67" s="93"/>
      <c r="D67" s="93"/>
      <c r="E67" s="93"/>
      <c r="F67" s="93"/>
      <c r="G67" s="49">
        <f t="shared" si="5"/>
        <v>0</v>
      </c>
      <c r="H67" s="49"/>
      <c r="I67" s="49"/>
      <c r="J67" s="49"/>
      <c r="K67" s="49"/>
      <c r="L67" s="193" t="e">
        <f>G67/$N$9</f>
        <v>#DIV/0!</v>
      </c>
      <c r="M67" s="74" t="e">
        <f t="shared" si="6"/>
        <v>#DIV/0!</v>
      </c>
      <c r="N67" s="36"/>
      <c r="O67" s="32"/>
    </row>
    <row r="68" spans="2:15" s="122" customFormat="1" ht="15" hidden="1" customHeight="1">
      <c r="B68" s="99" t="s">
        <v>89</v>
      </c>
      <c r="C68" s="93"/>
      <c r="D68" s="93"/>
      <c r="E68" s="93"/>
      <c r="F68" s="93"/>
      <c r="G68" s="49">
        <f t="shared" si="5"/>
        <v>0</v>
      </c>
      <c r="H68" s="49"/>
      <c r="I68" s="49"/>
      <c r="J68" s="49"/>
      <c r="K68" s="49"/>
      <c r="L68" s="193" t="e">
        <f>G68/$N$9</f>
        <v>#DIV/0!</v>
      </c>
      <c r="M68" s="74" t="e">
        <f t="shared" si="6"/>
        <v>#DIV/0!</v>
      </c>
      <c r="N68" s="18"/>
      <c r="O68" s="19"/>
    </row>
    <row r="69" spans="2:15" s="122" customFormat="1" ht="15" hidden="1" customHeight="1">
      <c r="B69" s="99" t="s">
        <v>90</v>
      </c>
      <c r="C69" s="93"/>
      <c r="D69" s="93"/>
      <c r="E69" s="93"/>
      <c r="F69" s="93"/>
      <c r="G69" s="49">
        <f t="shared" si="5"/>
        <v>0</v>
      </c>
      <c r="H69" s="49">
        <f>SUM(H70:H75)</f>
        <v>0</v>
      </c>
      <c r="I69" s="49">
        <f>SUM(I70:I75)</f>
        <v>0</v>
      </c>
      <c r="J69" s="49">
        <f>SUM(J70:J75)</f>
        <v>0</v>
      </c>
      <c r="K69" s="49">
        <f>SUM(K70:K75)</f>
        <v>0</v>
      </c>
      <c r="L69" s="177" t="e">
        <f>SUM(L70:L75)</f>
        <v>#DIV/0!</v>
      </c>
      <c r="M69" s="74" t="e">
        <f t="shared" si="6"/>
        <v>#DIV/0!</v>
      </c>
      <c r="N69" s="18"/>
      <c r="O69" s="19"/>
    </row>
    <row r="70" spans="2:15" s="122" customFormat="1" ht="15" hidden="1" customHeight="1">
      <c r="B70" s="195" t="s">
        <v>91</v>
      </c>
      <c r="C70" s="196"/>
      <c r="D70" s="196"/>
      <c r="E70" s="196"/>
      <c r="F70" s="197"/>
      <c r="G70" s="49">
        <f t="shared" si="5"/>
        <v>0</v>
      </c>
      <c r="H70" s="49"/>
      <c r="I70" s="49"/>
      <c r="J70" s="49"/>
      <c r="K70" s="49"/>
      <c r="L70" s="165" t="e">
        <f>M70</f>
        <v>#DIV/0!</v>
      </c>
      <c r="M70" s="74" t="e">
        <f t="shared" si="6"/>
        <v>#DIV/0!</v>
      </c>
      <c r="N70" s="18"/>
      <c r="O70" s="19"/>
    </row>
    <row r="71" spans="2:15" s="122" customFormat="1" ht="16.5" hidden="1" customHeight="1">
      <c r="B71" s="144" t="s">
        <v>92</v>
      </c>
      <c r="C71" s="161"/>
      <c r="D71" s="161"/>
      <c r="E71" s="161"/>
      <c r="F71" s="198"/>
      <c r="G71" s="153">
        <f t="shared" si="5"/>
        <v>0</v>
      </c>
      <c r="H71" s="49"/>
      <c r="I71" s="49"/>
      <c r="J71" s="49"/>
      <c r="K71" s="49"/>
      <c r="L71" s="106" t="e">
        <f>M71</f>
        <v>#DIV/0!</v>
      </c>
      <c r="M71" s="74" t="e">
        <f t="shared" si="6"/>
        <v>#DIV/0!</v>
      </c>
      <c r="N71" s="18"/>
      <c r="O71" s="19"/>
    </row>
    <row r="72" spans="2:15" s="122" customFormat="1" ht="15" hidden="1" customHeight="1">
      <c r="B72" s="144" t="s">
        <v>93</v>
      </c>
      <c r="C72" s="161"/>
      <c r="D72" s="161"/>
      <c r="E72" s="161"/>
      <c r="F72" s="198"/>
      <c r="G72" s="49">
        <f>+H72+I72+J72+K72</f>
        <v>0</v>
      </c>
      <c r="H72" s="49"/>
      <c r="I72" s="49"/>
      <c r="J72" s="49"/>
      <c r="K72" s="49"/>
      <c r="L72" s="199" t="e">
        <f>L20-L71-L26</f>
        <v>#DIV/0!</v>
      </c>
      <c r="M72" s="17" t="e">
        <f>G75/$N$9</f>
        <v>#DIV/0!</v>
      </c>
      <c r="N72" s="18"/>
      <c r="O72" s="19"/>
    </row>
    <row r="73" spans="2:15" s="122" customFormat="1" ht="15" hidden="1" customHeight="1">
      <c r="B73" s="99" t="s">
        <v>94</v>
      </c>
      <c r="C73" s="93"/>
      <c r="D73" s="93"/>
      <c r="E73" s="93"/>
      <c r="F73" s="200"/>
      <c r="G73" s="49">
        <f>SUM(H73:K73)</f>
        <v>0</v>
      </c>
      <c r="H73" s="49"/>
      <c r="I73" s="49"/>
      <c r="J73" s="49"/>
      <c r="K73" s="49"/>
      <c r="L73" s="193" t="e">
        <f>M73</f>
        <v>#DIV/0!</v>
      </c>
      <c r="M73" s="17" t="e">
        <f>G73/$N$9</f>
        <v>#DIV/0!</v>
      </c>
      <c r="N73" s="18"/>
      <c r="O73" s="19"/>
    </row>
    <row r="74" spans="2:15" s="122" customFormat="1" ht="15" hidden="1" customHeight="1">
      <c r="B74" s="99" t="s">
        <v>95</v>
      </c>
      <c r="C74" s="93"/>
      <c r="D74" s="93"/>
      <c r="E74" s="93"/>
      <c r="F74" s="200"/>
      <c r="G74" s="49">
        <f>SUM(H74:K74)</f>
        <v>0</v>
      </c>
      <c r="H74" s="49"/>
      <c r="I74" s="49"/>
      <c r="J74" s="49"/>
      <c r="K74" s="49"/>
      <c r="L74" s="119">
        <f>M74</f>
        <v>0</v>
      </c>
      <c r="M74" s="17"/>
      <c r="N74" s="18"/>
      <c r="O74" s="19"/>
    </row>
    <row r="75" spans="2:15" s="122" customFormat="1" ht="15" hidden="1" customHeight="1">
      <c r="B75" s="99" t="s">
        <v>96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93">
        <f>M75</f>
        <v>0</v>
      </c>
      <c r="M75" s="17"/>
      <c r="N75" s="18"/>
      <c r="O75" s="19"/>
    </row>
    <row r="76" spans="2:15" s="128" customFormat="1" ht="15" hidden="1" customHeight="1">
      <c r="B76" s="170" t="s">
        <v>97</v>
      </c>
      <c r="C76" s="171"/>
      <c r="D76" s="171"/>
      <c r="E76" s="171"/>
      <c r="F76" s="171"/>
      <c r="G76" s="49">
        <f>SUM(H76:K76)</f>
        <v>0</v>
      </c>
      <c r="H76" s="49"/>
      <c r="I76" s="49"/>
      <c r="J76" s="49"/>
      <c r="K76" s="49"/>
      <c r="L76" s="119">
        <f>G76/7296</f>
        <v>0</v>
      </c>
      <c r="M76" s="17">
        <f>G76/7296</f>
        <v>0</v>
      </c>
      <c r="N76" s="149"/>
      <c r="O76" s="134"/>
    </row>
    <row r="77" spans="2:15" ht="36.75" customHeight="1">
      <c r="B77" s="23" t="s">
        <v>98</v>
      </c>
      <c r="C77" s="23"/>
      <c r="D77" s="23"/>
      <c r="E77" s="201"/>
      <c r="F77" s="23" t="s">
        <v>99</v>
      </c>
      <c r="G77" s="202"/>
      <c r="H77" s="20"/>
      <c r="I77" s="51"/>
      <c r="J77" s="20"/>
      <c r="K77" s="20"/>
      <c r="L77" s="203"/>
    </row>
    <row r="78" spans="2:15" ht="24.75" customHeight="1">
      <c r="B78" s="19" t="s">
        <v>100</v>
      </c>
      <c r="C78" s="19"/>
      <c r="D78" s="19"/>
      <c r="E78" s="204"/>
      <c r="F78" s="205" t="str">
        <f>'резерв отпускных (4)'!D21</f>
        <v>А.Р. Саттарова</v>
      </c>
      <c r="G78" s="206"/>
      <c r="H78" s="20"/>
      <c r="I78" s="20"/>
      <c r="J78" s="20"/>
      <c r="K78" s="20"/>
      <c r="L78" s="207" t="e">
        <f>L20-L22-L27-L28-L29-L42-L43-L48-L54-L58</f>
        <v>#DIV/0!</v>
      </c>
    </row>
    <row r="79" spans="2:15" ht="24.75" customHeight="1">
      <c r="B79" s="19"/>
      <c r="C79" s="19"/>
      <c r="D79" s="19"/>
      <c r="E79" s="19"/>
      <c r="F79" s="19"/>
      <c r="G79" s="20"/>
      <c r="H79" s="20"/>
      <c r="I79" s="20"/>
      <c r="J79" s="20"/>
      <c r="K79" s="208"/>
      <c r="L79" s="207"/>
    </row>
    <row r="80" spans="2:15" ht="24.75" hidden="1" customHeight="1">
      <c r="B80" s="19"/>
      <c r="C80" s="19"/>
      <c r="D80" s="19"/>
      <c r="E80" s="19"/>
      <c r="F80" s="19"/>
      <c r="G80" s="20"/>
      <c r="H80" s="20"/>
      <c r="I80" s="20"/>
      <c r="J80" s="20"/>
      <c r="K80" s="208"/>
      <c r="L80" s="207"/>
    </row>
    <row r="81" spans="2:13" ht="18.75" customHeight="1">
      <c r="B81" s="19"/>
      <c r="C81" s="19"/>
      <c r="D81" s="19"/>
      <c r="E81" s="52"/>
      <c r="F81" s="209"/>
      <c r="H81" s="209"/>
      <c r="I81" s="210"/>
      <c r="J81" s="20"/>
      <c r="K81" s="20"/>
    </row>
    <row r="82" spans="2:13" ht="12.75" customHeight="1">
      <c r="I82" s="210"/>
      <c r="J82" s="20"/>
      <c r="K82" s="20"/>
    </row>
    <row r="83" spans="2:13" ht="18.75" customHeight="1">
      <c r="I83" s="210"/>
      <c r="J83" s="20"/>
      <c r="K83" s="20"/>
    </row>
    <row r="84" spans="2:13" ht="12.75" customHeight="1">
      <c r="I84" s="210"/>
      <c r="L84" s="211" t="e">
        <f>L22+L27+L29+L43+L48+L54+L58+L28+L24</f>
        <v>#DIV/0!</v>
      </c>
      <c r="M84" s="212" t="e">
        <f>M22+M27+M29+M43+M48+M54+M58+M28+M24</f>
        <v>#DIV/0!</v>
      </c>
    </row>
    <row r="85" spans="2:13" ht="12.75" customHeight="1">
      <c r="I85" s="210"/>
    </row>
    <row r="86" spans="2:13" ht="12.75" customHeight="1">
      <c r="C86" s="213"/>
      <c r="L86" s="214"/>
    </row>
    <row r="87" spans="2:13" ht="12.75" customHeight="1">
      <c r="I87" s="210"/>
    </row>
    <row r="88" spans="2:13" ht="12.75" customHeight="1">
      <c r="I88" s="210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</sheetData>
  <mergeCells count="7">
    <mergeCell ref="B49:D49"/>
    <mergeCell ref="B2:K2"/>
    <mergeCell ref="B3:K3"/>
    <mergeCell ref="P3:S3"/>
    <mergeCell ref="H18:I18"/>
    <mergeCell ref="J18:K18"/>
    <mergeCell ref="N18:N19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IW53"/>
  <sheetViews>
    <sheetView view="pageBreakPreview" zoomScale="80" zoomScaleNormal="100" zoomScalePageLayoutView="80" workbookViewId="0">
      <selection activeCell="D7" sqref="D7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44.140625" style="15" customWidth="1"/>
    <col min="4" max="4" width="15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8"/>
      <c r="F9" s="19"/>
      <c r="G9" s="19"/>
    </row>
    <row r="10" spans="2:10" ht="15.75">
      <c r="B10" s="284" t="str">
        <f>' (смета) (5)'!D6</f>
        <v>"Развитие речи"  (индивидуальное занятие)</v>
      </c>
      <c r="C10" s="284"/>
      <c r="D10" s="284"/>
      <c r="E10" s="18"/>
      <c r="F10" s="19"/>
      <c r="G10" s="19"/>
    </row>
    <row r="11" spans="2:10" ht="15.75">
      <c r="B11" s="51"/>
      <c r="C11" s="18" t="str">
        <f>' (смета) (5)'!B7</f>
        <v>По программе:</v>
      </c>
      <c r="D11" s="18"/>
      <c r="E11" s="18"/>
      <c r="F11" s="19"/>
      <c r="G11" s="19"/>
    </row>
    <row r="12" spans="2:10" ht="15.75">
      <c r="B12" s="51"/>
      <c r="C12" s="18" t="str">
        <f>' (смета) (5)'!D7</f>
        <v xml:space="preserve">Развитие речи </v>
      </c>
      <c r="D12" s="18"/>
      <c r="E12" s="18"/>
      <c r="F12" s="19"/>
      <c r="G12" s="19"/>
    </row>
    <row r="13" spans="2:10" ht="15.75">
      <c r="B13" s="3" t="str">
        <f>' (смета)'!B3:K3</f>
        <v xml:space="preserve">                 На  2024-2025 учебный год  (сентябрь -май)</v>
      </c>
      <c r="C13" s="3"/>
      <c r="D13" s="3"/>
      <c r="E13" s="3"/>
      <c r="F13" s="19"/>
      <c r="G13" s="19"/>
    </row>
    <row r="14" spans="2:10" ht="24.75" customHeight="1">
      <c r="B14" s="223" t="s">
        <v>124</v>
      </c>
      <c r="C14" s="223" t="s">
        <v>125</v>
      </c>
      <c r="D14" s="223" t="s">
        <v>126</v>
      </c>
      <c r="E14" s="239" t="s">
        <v>127</v>
      </c>
    </row>
    <row r="15" spans="2:10" ht="16.5" customHeight="1">
      <c r="B15" s="240">
        <v>1</v>
      </c>
      <c r="C15" s="241" t="s">
        <v>128</v>
      </c>
      <c r="D15" s="242">
        <f>SUM(D16:D25)</f>
        <v>21600.000000000004</v>
      </c>
      <c r="E15" s="243">
        <f>SUM(E16:E24)</f>
        <v>0</v>
      </c>
    </row>
    <row r="16" spans="2:10" ht="15.75">
      <c r="B16" s="244" t="s">
        <v>129</v>
      </c>
      <c r="C16" s="245" t="s">
        <v>3</v>
      </c>
      <c r="D16" s="49">
        <f>'резерв отпускных (5)'!D14</f>
        <v>14608.137651185105</v>
      </c>
      <c r="E16" s="246"/>
    </row>
    <row r="17" spans="2:5" ht="15.75">
      <c r="B17" s="244" t="s">
        <v>130</v>
      </c>
      <c r="C17" s="245" t="s">
        <v>131</v>
      </c>
      <c r="D17" s="49">
        <f>'резерв отпускных (5)'!D15</f>
        <v>4409.6575706579015</v>
      </c>
      <c r="E17" s="246"/>
    </row>
    <row r="18" spans="2:5" ht="15.75">
      <c r="B18" s="244" t="s">
        <v>132</v>
      </c>
      <c r="C18" s="245" t="s">
        <v>133</v>
      </c>
      <c r="D18" s="49">
        <f>'резерв отпускных (5)'!D13+2</f>
        <v>2582.2047781569963</v>
      </c>
      <c r="E18" s="246"/>
    </row>
    <row r="19" spans="2:5" ht="15.75" hidden="1">
      <c r="B19" s="244" t="s">
        <v>134</v>
      </c>
      <c r="C19" s="245"/>
      <c r="D19" s="247"/>
      <c r="E19" s="246"/>
    </row>
    <row r="20" spans="2:5" ht="15.75" hidden="1">
      <c r="B20" s="244" t="s">
        <v>135</v>
      </c>
      <c r="C20" s="245"/>
      <c r="D20" s="247"/>
      <c r="E20" s="246"/>
    </row>
    <row r="21" spans="2:5" ht="15.75" hidden="1">
      <c r="B21" s="244" t="s">
        <v>136</v>
      </c>
      <c r="C21" s="245"/>
      <c r="D21" s="247"/>
      <c r="E21" s="246"/>
    </row>
    <row r="22" spans="2:5" ht="15.75" hidden="1">
      <c r="B22" s="244" t="s">
        <v>137</v>
      </c>
      <c r="C22" s="245"/>
      <c r="D22" s="247"/>
      <c r="E22" s="246"/>
    </row>
    <row r="23" spans="2:5" ht="25.5" hidden="1" customHeight="1">
      <c r="B23" s="244" t="s">
        <v>138</v>
      </c>
      <c r="C23" s="245"/>
      <c r="D23" s="245"/>
      <c r="E23" s="246"/>
    </row>
    <row r="24" spans="2:5" ht="15.75" hidden="1">
      <c r="B24" s="244" t="s">
        <v>139</v>
      </c>
      <c r="C24" s="245"/>
      <c r="D24" s="245"/>
      <c r="E24" s="246"/>
    </row>
    <row r="25" spans="2:5" ht="15.75" hidden="1">
      <c r="B25" s="60"/>
      <c r="C25" s="245"/>
      <c r="D25" s="247"/>
      <c r="E25" s="246"/>
    </row>
    <row r="26" spans="2:5" ht="15.75">
      <c r="B26" s="240">
        <v>2</v>
      </c>
      <c r="C26" s="241" t="s">
        <v>140</v>
      </c>
      <c r="D26" s="248">
        <f>D27+D38+D43+D44+D42+D41+D39+D40</f>
        <v>14400</v>
      </c>
      <c r="E26" s="243">
        <f>E27+E38+E41+E42+E43+E44</f>
        <v>0</v>
      </c>
    </row>
    <row r="27" spans="2:5" ht="31.5" hidden="1">
      <c r="B27" s="244" t="s">
        <v>141</v>
      </c>
      <c r="C27" s="249" t="s">
        <v>142</v>
      </c>
      <c r="D27" s="49">
        <f>D28+D37</f>
        <v>0</v>
      </c>
      <c r="E27" s="246">
        <f>E28+E37</f>
        <v>0</v>
      </c>
    </row>
    <row r="28" spans="2:5" ht="15.75" hidden="1">
      <c r="B28" s="244" t="s">
        <v>143</v>
      </c>
      <c r="C28" s="143" t="s">
        <v>3</v>
      </c>
      <c r="D28" s="49">
        <f>SUM(D29:D36)</f>
        <v>0</v>
      </c>
      <c r="E28" s="246">
        <f>SUM(E29:E36)</f>
        <v>0</v>
      </c>
    </row>
    <row r="29" spans="2:5" ht="15.75" hidden="1">
      <c r="B29" s="244"/>
      <c r="C29" s="143" t="s">
        <v>144</v>
      </c>
      <c r="D29" s="49"/>
      <c r="E29" s="246"/>
    </row>
    <row r="30" spans="2:5" ht="15.75" hidden="1">
      <c r="B30" s="244"/>
      <c r="C30" s="143" t="s">
        <v>145</v>
      </c>
      <c r="D30" s="247"/>
      <c r="E30" s="246"/>
    </row>
    <row r="31" spans="2:5" ht="15.75" hidden="1">
      <c r="B31" s="244"/>
      <c r="C31" s="143" t="s">
        <v>146</v>
      </c>
      <c r="D31" s="247"/>
      <c r="E31" s="246"/>
    </row>
    <row r="32" spans="2:5" ht="15.75" hidden="1">
      <c r="B32" s="244"/>
      <c r="C32" s="143" t="s">
        <v>147</v>
      </c>
      <c r="D32" s="247"/>
      <c r="E32" s="246"/>
    </row>
    <row r="33" spans="2:5" ht="15.75" hidden="1">
      <c r="B33" s="244"/>
      <c r="C33" s="143" t="s">
        <v>148</v>
      </c>
      <c r="D33" s="49">
        <f>+' (смета)'!G56/1.271</f>
        <v>0</v>
      </c>
      <c r="E33" s="246"/>
    </row>
    <row r="34" spans="2:5" ht="15.75" hidden="1">
      <c r="B34" s="244"/>
      <c r="C34" s="143" t="s">
        <v>149</v>
      </c>
      <c r="D34" s="247"/>
      <c r="E34" s="246"/>
    </row>
    <row r="35" spans="2:5" ht="15.75" hidden="1">
      <c r="B35" s="244"/>
      <c r="C35" s="143" t="s">
        <v>150</v>
      </c>
      <c r="D35" s="247"/>
      <c r="E35" s="246"/>
    </row>
    <row r="36" spans="2:5" ht="15.75" hidden="1">
      <c r="B36" s="244"/>
      <c r="C36" s="143" t="s">
        <v>151</v>
      </c>
      <c r="D36" s="247"/>
      <c r="E36" s="246"/>
    </row>
    <row r="37" spans="2:5" ht="15.75" hidden="1">
      <c r="B37" s="244" t="s">
        <v>152</v>
      </c>
      <c r="C37" s="143" t="s">
        <v>131</v>
      </c>
      <c r="D37" s="49">
        <f>D28*27.1%</f>
        <v>0</v>
      </c>
      <c r="E37" s="246">
        <f>E28*26.2%</f>
        <v>0</v>
      </c>
    </row>
    <row r="38" spans="2:5" ht="15.75">
      <c r="B38" s="244" t="s">
        <v>153</v>
      </c>
      <c r="C38" s="245" t="s">
        <v>154</v>
      </c>
      <c r="D38" s="49">
        <f>' (смета) (5)'!G29</f>
        <v>3600</v>
      </c>
      <c r="E38" s="246"/>
    </row>
    <row r="39" spans="2:5" ht="31.5" customHeight="1">
      <c r="B39" s="250" t="s">
        <v>155</v>
      </c>
      <c r="C39" s="251" t="s">
        <v>156</v>
      </c>
      <c r="D39" s="49">
        <f>' (смета) (5)'!G49</f>
        <v>1800</v>
      </c>
      <c r="E39" s="246"/>
    </row>
    <row r="40" spans="2:5" ht="16.5" customHeight="1">
      <c r="B40" s="250" t="s">
        <v>157</v>
      </c>
      <c r="C40" s="251" t="s">
        <v>158</v>
      </c>
      <c r="D40" s="49">
        <f>' (смета) (5)'!G50</f>
        <v>468</v>
      </c>
      <c r="E40" s="246"/>
    </row>
    <row r="41" spans="2:5" ht="15.75">
      <c r="B41" s="244" t="s">
        <v>159</v>
      </c>
      <c r="C41" s="245" t="s">
        <v>160</v>
      </c>
      <c r="D41" s="49">
        <f>' (смета) (5)'!G71</f>
        <v>0</v>
      </c>
      <c r="E41" s="246"/>
    </row>
    <row r="42" spans="2:5" ht="15.75">
      <c r="B42" s="244" t="s">
        <v>161</v>
      </c>
      <c r="C42" s="99" t="s">
        <v>162</v>
      </c>
      <c r="D42" s="252">
        <f>+' (смета) (5)'!G72</f>
        <v>0</v>
      </c>
      <c r="E42" s="93"/>
    </row>
    <row r="43" spans="2:5" ht="15.75">
      <c r="B43" s="244" t="s">
        <v>163</v>
      </c>
      <c r="C43" s="245" t="s">
        <v>164</v>
      </c>
      <c r="D43" s="247">
        <f>' (смета) (5)'!G60</f>
        <v>8532</v>
      </c>
      <c r="E43" s="246"/>
    </row>
    <row r="44" spans="2:5" ht="15.75">
      <c r="B44" s="244" t="s">
        <v>165</v>
      </c>
      <c r="C44" s="249" t="s">
        <v>166</v>
      </c>
      <c r="D44" s="247">
        <f>' (смета) (5)'!G73</f>
        <v>0</v>
      </c>
      <c r="E44" s="246"/>
    </row>
    <row r="45" spans="2:5" ht="18.75" customHeight="1">
      <c r="B45" s="240">
        <v>3</v>
      </c>
      <c r="C45" s="241" t="s">
        <v>167</v>
      </c>
      <c r="D45" s="248">
        <f>D15+D26</f>
        <v>36000</v>
      </c>
      <c r="E45" s="243">
        <f>E15+E26</f>
        <v>0</v>
      </c>
    </row>
    <row r="46" spans="2:5" ht="15.75">
      <c r="B46" s="60"/>
      <c r="C46" s="245"/>
      <c r="D46" s="247"/>
      <c r="E46" s="246"/>
    </row>
    <row r="47" spans="2:5" ht="15.75">
      <c r="B47" s="60">
        <v>4</v>
      </c>
      <c r="C47" s="245" t="s">
        <v>168</v>
      </c>
      <c r="D47" s="49">
        <f>' (смета) (5)'!E8</f>
        <v>1</v>
      </c>
      <c r="E47" s="246"/>
    </row>
    <row r="48" spans="2:5" ht="15.75">
      <c r="B48" s="60">
        <v>5</v>
      </c>
      <c r="C48" s="245" t="s">
        <v>169</v>
      </c>
      <c r="D48" s="49">
        <f>' (смета) (5)'!E13</f>
        <v>72</v>
      </c>
      <c r="E48" s="246"/>
    </row>
    <row r="49" spans="2:8" ht="15.75">
      <c r="B49" s="240">
        <v>6</v>
      </c>
      <c r="C49" s="241" t="s">
        <v>170</v>
      </c>
      <c r="D49" s="248">
        <f>D45/D47/D48</f>
        <v>500</v>
      </c>
      <c r="E49" s="243"/>
    </row>
    <row r="50" spans="2:8" ht="15.75">
      <c r="B50" s="19"/>
      <c r="C50" s="19"/>
      <c r="D50" s="19"/>
    </row>
    <row r="51" spans="2:8" ht="15.75">
      <c r="B51" s="19" t="s">
        <v>171</v>
      </c>
      <c r="C51" s="20" t="str">
        <f>' (смета) (5)'!F78</f>
        <v>А.Р. Саттарова</v>
      </c>
      <c r="D51" s="19"/>
      <c r="E51" s="204"/>
      <c r="F51" s="52"/>
      <c r="G51" s="2"/>
      <c r="H51" s="2"/>
    </row>
    <row r="52" spans="2:8" ht="15.75">
      <c r="B52" s="19"/>
      <c r="C52" s="19"/>
      <c r="D52" s="19"/>
      <c r="E52" s="19"/>
      <c r="F52" s="19"/>
      <c r="G52" s="20"/>
      <c r="H52" s="20"/>
    </row>
    <row r="53" spans="2:8" ht="15.75">
      <c r="B53" s="19"/>
      <c r="C53" s="19"/>
      <c r="D53" s="19"/>
      <c r="E53" s="204"/>
      <c r="F53" s="52"/>
      <c r="G53" s="8"/>
      <c r="H53" s="8"/>
    </row>
  </sheetData>
  <mergeCells count="7">
    <mergeCell ref="G51:H51"/>
    <mergeCell ref="G53:H53"/>
    <mergeCell ref="D3:G3"/>
    <mergeCell ref="B8:D8"/>
    <mergeCell ref="B9:D9"/>
    <mergeCell ref="B10:D10"/>
    <mergeCell ref="B13:E13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W20"/>
  <sheetViews>
    <sheetView view="pageBreakPreview" zoomScale="80" zoomScaleNormal="100" zoomScalePageLayoutView="80" workbookViewId="0">
      <selection activeCell="D17" sqref="D17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4.5703125" style="19" customWidth="1"/>
    <col min="6" max="7" width="9.140625" style="19"/>
    <col min="8" max="8" width="9.42578125" style="19" customWidth="1"/>
    <col min="9" max="257" width="9.140625" style="19"/>
  </cols>
  <sheetData>
    <row r="2" spans="2:7">
      <c r="B2" s="8" t="str">
        <f>' (смета) (5)'!C4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 (5)'!C5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 ht="15.75" customHeight="1">
      <c r="B7" s="217"/>
      <c r="C7" s="216" t="str">
        <f>' (смета) (5)'!B7</f>
        <v>По программе:</v>
      </c>
      <c r="D7" s="218"/>
      <c r="E7" s="215"/>
    </row>
    <row r="8" spans="2:7" s="32" customFormat="1">
      <c r="B8" s="216"/>
      <c r="C8" s="270" t="str">
        <f>' (смета) (5)'!D7</f>
        <v xml:space="preserve">Развитие речи </v>
      </c>
      <c r="D8" s="270"/>
      <c r="E8" s="221"/>
    </row>
    <row r="9" spans="2:7" ht="33" customHeight="1">
      <c r="B9" s="222" t="s">
        <v>104</v>
      </c>
      <c r="C9" s="223" t="s">
        <v>105</v>
      </c>
      <c r="D9" s="223" t="s">
        <v>106</v>
      </c>
      <c r="E9" s="224"/>
      <c r="F9" s="18" t="s">
        <v>107</v>
      </c>
      <c r="G9" s="18" t="s">
        <v>108</v>
      </c>
    </row>
    <row r="10" spans="2:7" ht="23.25" customHeight="1">
      <c r="B10" s="223">
        <v>1</v>
      </c>
      <c r="C10" s="225" t="s">
        <v>109</v>
      </c>
      <c r="D10" s="226">
        <f>(' (смета) (5)'!G23/9)/29.3*F10</f>
        <v>1981.7240999669712</v>
      </c>
      <c r="E10" s="227"/>
      <c r="F10" s="228">
        <f>42/12*9</f>
        <v>31.5</v>
      </c>
      <c r="G10" s="228">
        <f>F10/9</f>
        <v>3.5</v>
      </c>
    </row>
    <row r="11" spans="2:7" ht="33" customHeight="1">
      <c r="B11" s="223">
        <v>2</v>
      </c>
      <c r="C11" s="229" t="s">
        <v>110</v>
      </c>
      <c r="D11" s="230">
        <f>D10*30.2%</f>
        <v>598.48067819002529</v>
      </c>
      <c r="E11" s="231"/>
    </row>
    <row r="12" spans="2:7" ht="33" hidden="1" customHeight="1">
      <c r="B12" s="223">
        <v>3</v>
      </c>
      <c r="C12" s="229" t="s">
        <v>111</v>
      </c>
      <c r="D12" s="230"/>
      <c r="E12" s="231"/>
    </row>
    <row r="13" spans="2:7" ht="54" customHeight="1">
      <c r="B13" s="223">
        <v>3</v>
      </c>
      <c r="C13" s="229" t="s">
        <v>112</v>
      </c>
      <c r="D13" s="230">
        <f>D10+D11-D12</f>
        <v>2580.2047781569963</v>
      </c>
      <c r="E13" s="231"/>
    </row>
    <row r="14" spans="2:7" ht="33" customHeight="1">
      <c r="B14" s="223">
        <v>4</v>
      </c>
      <c r="C14" s="229" t="s">
        <v>113</v>
      </c>
      <c r="D14" s="232">
        <f>' (смета) (5)'!G23-D10</f>
        <v>14608.137651185105</v>
      </c>
      <c r="E14" s="227"/>
    </row>
    <row r="15" spans="2:7" ht="33" customHeight="1">
      <c r="B15" s="223">
        <v>5</v>
      </c>
      <c r="C15" s="229" t="s">
        <v>114</v>
      </c>
      <c r="D15" s="230">
        <f>D14*30.2%-2</f>
        <v>4409.6575706579015</v>
      </c>
      <c r="E15" s="231"/>
    </row>
    <row r="16" spans="2:7" ht="33" customHeight="1">
      <c r="B16" s="223">
        <v>6</v>
      </c>
      <c r="C16" s="229" t="s">
        <v>115</v>
      </c>
      <c r="D16" s="230">
        <f>D14+D15</f>
        <v>19017.795221843007</v>
      </c>
      <c r="E16" s="231"/>
    </row>
    <row r="17" spans="2:5" ht="33" customHeight="1">
      <c r="B17" s="223">
        <v>7</v>
      </c>
      <c r="C17" s="229" t="s">
        <v>116</v>
      </c>
      <c r="D17" s="233">
        <f>D13/D16</f>
        <v>0.13567318125255057</v>
      </c>
      <c r="E17" s="234"/>
    </row>
    <row r="18" spans="2:5" ht="49.5" customHeight="1">
      <c r="B18" s="223">
        <v>8</v>
      </c>
      <c r="C18" s="229" t="s">
        <v>117</v>
      </c>
      <c r="D18" s="235" t="s">
        <v>118</v>
      </c>
      <c r="E18" s="236"/>
    </row>
    <row r="20" spans="2:5">
      <c r="B20" s="19" t="s">
        <v>119</v>
      </c>
      <c r="D20" s="19" t="str">
        <f>'калькуляция (5)'!C51</f>
        <v>А.Р. Саттарова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4"/>
  <sheetViews>
    <sheetView view="pageBreakPreview" zoomScale="80" zoomScaleNormal="80" zoomScalePageLayoutView="80" workbookViewId="0">
      <selection activeCell="B4" sqref="B4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/>
    <col min="16" max="16" width="11.85546875" style="15" customWidth="1"/>
    <col min="17" max="17" width="10.85546875" style="15" customWidth="1"/>
    <col min="18" max="18" width="10.7109375" style="15" customWidth="1"/>
    <col min="19" max="19" width="12.28515625" style="15" customWidth="1"/>
    <col min="20" max="20" width="17.42578125" style="15" customWidth="1"/>
    <col min="21" max="257" width="9.140625" style="15"/>
  </cols>
  <sheetData>
    <row r="1" spans="1:20" s="19" customFormat="1" ht="12.75" customHeight="1">
      <c r="G1" s="20"/>
      <c r="H1" s="20"/>
      <c r="I1" s="20"/>
      <c r="J1" s="20"/>
      <c r="K1" s="20"/>
      <c r="M1" s="17"/>
      <c r="N1" s="18"/>
    </row>
    <row r="2" spans="1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1:20" s="21" customFormat="1" ht="19.5" customHeight="1">
      <c r="B3" s="272" t="s">
        <v>189</v>
      </c>
      <c r="C3" s="272"/>
      <c r="D3" s="272"/>
      <c r="E3" s="272"/>
      <c r="F3" s="272"/>
      <c r="G3" s="272"/>
      <c r="H3" s="272"/>
      <c r="I3" s="272"/>
      <c r="J3" s="272"/>
      <c r="K3" s="272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1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G20</f>
        <v>176000</v>
      </c>
      <c r="Q4" s="29">
        <f>H20+I20+J20+K20</f>
        <v>176000</v>
      </c>
      <c r="R4" s="29">
        <f>G21+G26+G58</f>
        <v>176000</v>
      </c>
      <c r="S4" s="30">
        <f>'калькуляция (6)'!D45</f>
        <v>176000</v>
      </c>
      <c r="T4" s="31">
        <f>'резерв отпускных (6)'!D11+'резерв отпускных (6)'!D12+'резерв отпускных (6)'!D15+'резерв отпускных (6)'!D16</f>
        <v>105599</v>
      </c>
    </row>
    <row r="5" spans="1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1:20" s="32" customFormat="1" ht="18" customHeight="1">
      <c r="B6" s="33" t="s">
        <v>7</v>
      </c>
      <c r="C6" s="34"/>
      <c r="D6" s="34" t="s">
        <v>190</v>
      </c>
      <c r="E6" s="34"/>
      <c r="F6" s="34"/>
      <c r="G6" s="34"/>
      <c r="H6" s="34"/>
      <c r="I6" s="34"/>
      <c r="J6" s="34"/>
      <c r="K6" s="34"/>
      <c r="M6" s="35"/>
      <c r="N6" s="36"/>
      <c r="P6" s="37">
        <f>E16-P4</f>
        <v>0</v>
      </c>
      <c r="Q6" s="37">
        <f>E16-Q4</f>
        <v>0</v>
      </c>
      <c r="R6" s="37">
        <f>E16-R4</f>
        <v>0</v>
      </c>
      <c r="S6" s="37">
        <f>E16-S4</f>
        <v>0</v>
      </c>
      <c r="T6" s="37">
        <f>G21-T4</f>
        <v>1</v>
      </c>
    </row>
    <row r="7" spans="1:20" s="19" customFormat="1" ht="18" customHeight="1">
      <c r="B7" s="38" t="s">
        <v>9</v>
      </c>
      <c r="C7" s="263"/>
      <c r="D7" s="263" t="s">
        <v>191</v>
      </c>
      <c r="G7" s="41"/>
      <c r="H7" s="20"/>
      <c r="I7" s="20"/>
      <c r="J7" s="20"/>
      <c r="K7" s="20"/>
      <c r="M7" s="17"/>
      <c r="N7" s="18"/>
    </row>
    <row r="8" spans="1:20" s="19" customFormat="1" ht="27" customHeight="1">
      <c r="B8" s="19" t="s">
        <v>11</v>
      </c>
      <c r="E8" s="42">
        <v>4</v>
      </c>
      <c r="F8" s="15"/>
      <c r="G8" s="20"/>
      <c r="H8" s="20"/>
      <c r="I8" s="20"/>
      <c r="J8" s="20"/>
      <c r="K8" s="20"/>
      <c r="M8" s="17"/>
      <c r="N8" s="18"/>
      <c r="O8" s="209" t="s">
        <v>192</v>
      </c>
    </row>
    <row r="9" spans="1:20" s="19" customFormat="1" ht="18" customHeight="1">
      <c r="B9" s="19" t="s">
        <v>184</v>
      </c>
      <c r="E9" s="42">
        <v>2</v>
      </c>
      <c r="F9" s="43"/>
      <c r="G9" s="20"/>
      <c r="H9" s="20"/>
      <c r="I9" s="20"/>
      <c r="J9" s="20"/>
      <c r="K9" s="20"/>
      <c r="M9" s="17"/>
      <c r="N9" s="44"/>
      <c r="O9" s="45"/>
    </row>
    <row r="10" spans="1:20" s="19" customFormat="1" ht="18" customHeight="1">
      <c r="B10" s="19" t="s">
        <v>14</v>
      </c>
      <c r="E10" s="42"/>
      <c r="F10" s="43"/>
      <c r="G10" s="46"/>
      <c r="H10" s="20"/>
      <c r="I10" s="20"/>
      <c r="J10" s="20"/>
      <c r="K10" s="20"/>
      <c r="M10" s="17"/>
      <c r="N10" s="18"/>
    </row>
    <row r="11" spans="1:20" s="19" customFormat="1" ht="18" customHeight="1">
      <c r="B11" s="19" t="s">
        <v>15</v>
      </c>
      <c r="E11" s="47">
        <f>G13</f>
        <v>40</v>
      </c>
      <c r="F11" s="43"/>
      <c r="G11" s="20"/>
      <c r="H11" s="20"/>
      <c r="I11" s="20"/>
      <c r="J11" s="20"/>
      <c r="K11" s="20"/>
      <c r="M11" s="17"/>
      <c r="N11" s="18"/>
    </row>
    <row r="12" spans="1:20" s="19" customFormat="1" ht="18" customHeight="1">
      <c r="B12" s="19" t="s">
        <v>177</v>
      </c>
      <c r="E12" s="48">
        <f>E8*E9*E11</f>
        <v>320</v>
      </c>
      <c r="F12" s="43"/>
      <c r="G12" s="20"/>
      <c r="H12" s="20"/>
      <c r="I12" s="20"/>
      <c r="J12" s="20"/>
      <c r="K12" s="20"/>
      <c r="M12" s="17"/>
      <c r="N12" s="18"/>
    </row>
    <row r="13" spans="1:20" s="19" customFormat="1" ht="18" customHeight="1">
      <c r="B13" s="19" t="s">
        <v>17</v>
      </c>
      <c r="E13" s="42">
        <f>E11*E9</f>
        <v>80</v>
      </c>
      <c r="G13" s="49">
        <f>H13+I13+J13+K13</f>
        <v>40</v>
      </c>
      <c r="H13" s="49">
        <v>4</v>
      </c>
      <c r="I13" s="49">
        <v>12</v>
      </c>
      <c r="J13" s="49">
        <v>12</v>
      </c>
      <c r="K13" s="49">
        <v>12</v>
      </c>
      <c r="M13" s="17"/>
      <c r="N13" s="18"/>
    </row>
    <row r="14" spans="1:20" s="19" customFormat="1" ht="18" customHeight="1">
      <c r="B14" s="19" t="s">
        <v>20</v>
      </c>
      <c r="E14" s="42">
        <v>550</v>
      </c>
      <c r="F14" s="43"/>
      <c r="G14" s="51"/>
      <c r="H14" s="51"/>
      <c r="I14" s="51"/>
      <c r="J14" s="51"/>
      <c r="K14" s="51"/>
      <c r="M14" s="17"/>
      <c r="N14" s="18"/>
    </row>
    <row r="15" spans="1:20" s="19" customFormat="1" ht="21" customHeight="1">
      <c r="B15" s="19" t="s">
        <v>21</v>
      </c>
      <c r="E15" s="42">
        <f>E9*E11*E14</f>
        <v>44000</v>
      </c>
      <c r="F15" s="19" t="s">
        <v>19</v>
      </c>
      <c r="G15" s="51"/>
      <c r="H15" s="51"/>
      <c r="I15" s="51"/>
      <c r="J15" s="51"/>
      <c r="K15" s="51"/>
      <c r="M15" s="17"/>
      <c r="N15" s="18"/>
    </row>
    <row r="16" spans="1:20" s="19" customFormat="1" ht="18" customHeight="1">
      <c r="A16" s="52"/>
      <c r="B16" s="52" t="s">
        <v>22</v>
      </c>
      <c r="C16" s="53"/>
      <c r="D16" s="53"/>
      <c r="E16" s="54">
        <f>E15*E8</f>
        <v>176000</v>
      </c>
      <c r="F16" s="53"/>
      <c r="G16" s="51"/>
      <c r="H16" s="51"/>
      <c r="I16" s="51"/>
      <c r="J16" s="51"/>
      <c r="K16" s="51"/>
      <c r="L16" s="19" t="s">
        <v>23</v>
      </c>
      <c r="M16" s="17"/>
      <c r="N16" s="18"/>
    </row>
    <row r="17" spans="1:24" s="19" customFormat="1" ht="18" customHeight="1">
      <c r="A17" s="52"/>
      <c r="B17" s="52"/>
      <c r="C17" s="53"/>
      <c r="D17" s="53"/>
      <c r="E17" s="55"/>
      <c r="F17" s="53"/>
      <c r="G17" s="51"/>
      <c r="H17" s="51"/>
      <c r="I17" s="51"/>
      <c r="J17" s="51"/>
      <c r="K17" s="51"/>
      <c r="M17" s="17"/>
      <c r="N17" s="18"/>
    </row>
    <row r="18" spans="1:24" s="19" customFormat="1" ht="18" customHeight="1">
      <c r="A18" s="52"/>
      <c r="B18" s="56" t="s">
        <v>24</v>
      </c>
      <c r="C18" s="57"/>
      <c r="D18" s="57"/>
      <c r="E18" s="57"/>
      <c r="F18" s="57"/>
      <c r="G18" s="58"/>
      <c r="H18" s="12">
        <v>2024</v>
      </c>
      <c r="I18" s="12"/>
      <c r="J18" s="11">
        <v>2025</v>
      </c>
      <c r="K18" s="11"/>
      <c r="L18" s="61" t="s">
        <v>25</v>
      </c>
      <c r="M18" s="17"/>
      <c r="N18" s="10" t="s">
        <v>26</v>
      </c>
      <c r="P18" s="62"/>
      <c r="Q18" s="63"/>
      <c r="R18" s="64"/>
      <c r="S18" s="64"/>
      <c r="T18" s="63"/>
      <c r="U18" s="63"/>
      <c r="V18" s="63"/>
      <c r="W18" s="63"/>
    </row>
    <row r="19" spans="1:24" s="19" customFormat="1" ht="18" customHeight="1">
      <c r="A19" s="52"/>
      <c r="B19" s="65"/>
      <c r="C19" s="66" t="s">
        <v>27</v>
      </c>
      <c r="D19" s="52"/>
      <c r="E19" s="52"/>
      <c r="F19" s="52"/>
      <c r="G19" s="67"/>
      <c r="H19" s="49" t="s">
        <v>28</v>
      </c>
      <c r="I19" s="49" t="s">
        <v>29</v>
      </c>
      <c r="J19" s="49" t="s">
        <v>30</v>
      </c>
      <c r="K19" s="49" t="s">
        <v>31</v>
      </c>
      <c r="L19" s="68" t="s">
        <v>32</v>
      </c>
      <c r="M19" s="17"/>
      <c r="N19" s="10"/>
    </row>
    <row r="20" spans="1:24" s="63" customFormat="1" ht="30" customHeight="1">
      <c r="B20" s="69"/>
      <c r="C20" s="70"/>
      <c r="D20" s="70"/>
      <c r="E20" s="70"/>
      <c r="F20" s="70"/>
      <c r="G20" s="71">
        <f>E16</f>
        <v>176000</v>
      </c>
      <c r="H20" s="72">
        <f>E16/G13*H13</f>
        <v>17600</v>
      </c>
      <c r="I20" s="72">
        <f>E16/G13*I13</f>
        <v>52800</v>
      </c>
      <c r="J20" s="72">
        <f>E16/G13*J13</f>
        <v>52800</v>
      </c>
      <c r="K20" s="72">
        <f>E16/G13*K13</f>
        <v>52800</v>
      </c>
      <c r="L20" s="73">
        <f>E14</f>
        <v>550</v>
      </c>
      <c r="M20" s="74" t="e">
        <f>G20/N9</f>
        <v>#DIV/0!</v>
      </c>
      <c r="N20" s="75">
        <f>G20/G20</f>
        <v>1</v>
      </c>
      <c r="O20" s="32"/>
      <c r="P20" s="19"/>
      <c r="Q20" s="19"/>
      <c r="R20" s="19"/>
      <c r="S20" s="19"/>
      <c r="T20" s="19"/>
      <c r="U20" s="19"/>
      <c r="V20" s="19"/>
      <c r="W20" s="19"/>
    </row>
    <row r="21" spans="1:24" s="19" customFormat="1" ht="24.95" customHeight="1">
      <c r="B21" s="78" t="s">
        <v>33</v>
      </c>
      <c r="C21" s="79"/>
      <c r="D21" s="79"/>
      <c r="E21" s="79"/>
      <c r="F21" s="79"/>
      <c r="G21" s="80">
        <f>+H21+I21+J21+K21</f>
        <v>105600</v>
      </c>
      <c r="H21" s="80">
        <f>H20*0.6</f>
        <v>10560</v>
      </c>
      <c r="I21" s="80">
        <f>I20*0.6</f>
        <v>31680</v>
      </c>
      <c r="J21" s="80">
        <f>J20*0.6</f>
        <v>31680</v>
      </c>
      <c r="K21" s="80">
        <f>K20*0.6</f>
        <v>31680</v>
      </c>
      <c r="L21" s="81"/>
      <c r="M21" s="74">
        <f>G21/8208</f>
        <v>12.865497076023392</v>
      </c>
      <c r="N21" s="82">
        <f>G21/G20</f>
        <v>0.6</v>
      </c>
      <c r="O21" s="83"/>
      <c r="X21" s="84"/>
    </row>
    <row r="22" spans="1:24" s="19" customFormat="1" ht="17.25" customHeight="1">
      <c r="B22" s="85"/>
      <c r="C22" s="86"/>
      <c r="D22" s="86"/>
      <c r="E22" s="86"/>
      <c r="F22" s="87"/>
      <c r="G22" s="49"/>
      <c r="H22" s="58">
        <v>0</v>
      </c>
      <c r="I22" s="58"/>
      <c r="J22" s="58"/>
      <c r="K22" s="58"/>
      <c r="L22" s="88" t="e">
        <f>M22</f>
        <v>#DIV/0!</v>
      </c>
      <c r="M22" s="74" t="e">
        <f>G22/N9</f>
        <v>#DIV/0!</v>
      </c>
      <c r="N22" s="82"/>
      <c r="P22" s="89" t="s">
        <v>34</v>
      </c>
      <c r="Q22" s="90"/>
      <c r="R22" s="90"/>
      <c r="S22" s="90"/>
      <c r="T22" s="91"/>
      <c r="U22" s="52"/>
      <c r="V22" s="52"/>
    </row>
    <row r="23" spans="1:24" s="19" customFormat="1" ht="17.25" customHeight="1">
      <c r="A23" s="19" t="s">
        <v>35</v>
      </c>
      <c r="B23" s="92" t="s">
        <v>36</v>
      </c>
      <c r="C23" s="93"/>
      <c r="D23" s="93"/>
      <c r="E23" s="93"/>
      <c r="F23" s="93"/>
      <c r="G23" s="49">
        <f t="shared" ref="G23:G33" si="0">SUM(H23:K23)</f>
        <v>81105.990783410132</v>
      </c>
      <c r="H23" s="49">
        <f>H21/1.302</f>
        <v>8110.5990783410134</v>
      </c>
      <c r="I23" s="49">
        <f>I21/1.302</f>
        <v>24331.797235023041</v>
      </c>
      <c r="J23" s="49">
        <f>J21/1.302</f>
        <v>24331.797235023041</v>
      </c>
      <c r="K23" s="49">
        <f>K21/1.302</f>
        <v>24331.797235023041</v>
      </c>
      <c r="L23" s="94" t="e">
        <f>M23</f>
        <v>#DIV/0!</v>
      </c>
      <c r="M23" s="74" t="e">
        <f>G23/N9</f>
        <v>#DIV/0!</v>
      </c>
      <c r="N23" s="82"/>
      <c r="P23" s="95" t="s">
        <v>37</v>
      </c>
      <c r="Q23" s="96">
        <f>E14*0.546/1.302/1.1357/1.3</f>
        <v>156.22026489276192</v>
      </c>
      <c r="R23" s="97" t="s">
        <v>38</v>
      </c>
      <c r="S23" s="97"/>
      <c r="T23" s="98" t="s">
        <v>39</v>
      </c>
      <c r="U23" s="97"/>
      <c r="V23" s="97"/>
      <c r="X23" s="84"/>
    </row>
    <row r="24" spans="1:24" s="19" customFormat="1" ht="17.25" hidden="1" customHeight="1">
      <c r="A24" s="32" t="s">
        <v>40</v>
      </c>
      <c r="B24" s="99" t="s">
        <v>41</v>
      </c>
      <c r="C24" s="99"/>
      <c r="D24" s="93"/>
      <c r="E24" s="93"/>
      <c r="F24" s="93"/>
      <c r="G24" s="49">
        <f t="shared" si="0"/>
        <v>0</v>
      </c>
      <c r="H24" s="49"/>
      <c r="I24" s="49"/>
      <c r="J24" s="49"/>
      <c r="K24" s="49"/>
      <c r="L24" s="100"/>
      <c r="M24" s="74">
        <f>G24/5760</f>
        <v>0</v>
      </c>
      <c r="N24" s="82"/>
      <c r="P24" s="101"/>
      <c r="Q24" s="52"/>
      <c r="R24" s="52"/>
      <c r="S24" s="52"/>
      <c r="T24" s="102"/>
      <c r="U24" s="52"/>
      <c r="V24" s="52"/>
    </row>
    <row r="25" spans="1:24" s="19" customFormat="1" ht="17.25" customHeight="1">
      <c r="A25" s="32" t="s">
        <v>40</v>
      </c>
      <c r="B25" s="103" t="s">
        <v>42</v>
      </c>
      <c r="C25" s="104"/>
      <c r="D25" s="105"/>
      <c r="E25" s="105"/>
      <c r="F25" s="105"/>
      <c r="G25" s="49">
        <f t="shared" si="0"/>
        <v>24494.009216589864</v>
      </c>
      <c r="H25" s="49">
        <f>H21-H23</f>
        <v>2449.4009216589866</v>
      </c>
      <c r="I25" s="49">
        <f>I21-I23</f>
        <v>7348.2027649769589</v>
      </c>
      <c r="J25" s="49">
        <f>J21-J23</f>
        <v>7348.2027649769589</v>
      </c>
      <c r="K25" s="49">
        <f>K21-K23</f>
        <v>7348.2027649769589</v>
      </c>
      <c r="L25" s="106" t="e">
        <f>M25</f>
        <v>#DIV/0!</v>
      </c>
      <c r="M25" s="74" t="e">
        <f t="shared" ref="M25:M33" si="1">G25/$N$9</f>
        <v>#DIV/0!</v>
      </c>
      <c r="N25" s="82"/>
      <c r="P25" s="107" t="s">
        <v>43</v>
      </c>
      <c r="Q25" s="108">
        <f>E14*0.054/1.302/1.1357/1.3</f>
        <v>15.450355868514912</v>
      </c>
      <c r="R25" s="109" t="s">
        <v>38</v>
      </c>
      <c r="S25" s="109"/>
      <c r="T25" s="110" t="s">
        <v>44</v>
      </c>
      <c r="U25" s="52"/>
      <c r="V25" s="52"/>
    </row>
    <row r="26" spans="1:24" s="19" customFormat="1" ht="24.95" customHeight="1">
      <c r="B26" s="111" t="s">
        <v>45</v>
      </c>
      <c r="C26" s="112"/>
      <c r="D26" s="112"/>
      <c r="E26" s="112"/>
      <c r="F26" s="112"/>
      <c r="G26" s="113">
        <f t="shared" si="0"/>
        <v>28688</v>
      </c>
      <c r="H26" s="80">
        <f>H27+H28+H29+H42+H43+H48</f>
        <v>2868.8</v>
      </c>
      <c r="I26" s="80">
        <f>I27+I28+I29+I42+I43+I48</f>
        <v>8606.4</v>
      </c>
      <c r="J26" s="80">
        <f>J27+J28+J29+J42+J43+J48</f>
        <v>8606.4</v>
      </c>
      <c r="K26" s="80">
        <f>K27+K28+K29+K42+K43+K48</f>
        <v>8606.4</v>
      </c>
      <c r="L26" s="114" t="e">
        <f>L27+L28+L29+L42+L43+L48</f>
        <v>#DIV/0!</v>
      </c>
      <c r="M26" s="74" t="e">
        <f t="shared" si="1"/>
        <v>#DIV/0!</v>
      </c>
      <c r="N26" s="82"/>
      <c r="P26" s="17"/>
    </row>
    <row r="27" spans="1:24" s="115" customFormat="1" ht="17.25" hidden="1" customHeight="1">
      <c r="B27" s="116" t="s">
        <v>46</v>
      </c>
      <c r="C27" s="117"/>
      <c r="D27" s="117"/>
      <c r="E27" s="117"/>
      <c r="F27" s="117"/>
      <c r="G27" s="49">
        <f t="shared" si="0"/>
        <v>0</v>
      </c>
      <c r="H27" s="49"/>
      <c r="I27" s="49"/>
      <c r="J27" s="49"/>
      <c r="K27" s="118"/>
      <c r="L27" s="119">
        <f>(H27/3*$L$20)/($H$20/3)</f>
        <v>0</v>
      </c>
      <c r="M27" s="74" t="e">
        <f t="shared" si="1"/>
        <v>#DIV/0!</v>
      </c>
      <c r="N27" s="82"/>
      <c r="O27" s="32"/>
    </row>
    <row r="28" spans="1:24" s="115" customFormat="1" ht="17.25" hidden="1" customHeight="1">
      <c r="B28" s="116" t="s">
        <v>47</v>
      </c>
      <c r="C28" s="117"/>
      <c r="D28" s="117"/>
      <c r="E28" s="117"/>
      <c r="F28" s="117"/>
      <c r="G28" s="49">
        <f t="shared" si="0"/>
        <v>0</v>
      </c>
      <c r="H28" s="49"/>
      <c r="I28" s="49"/>
      <c r="J28" s="49"/>
      <c r="K28" s="49"/>
      <c r="L28" s="119"/>
      <c r="M28" s="74" t="e">
        <f t="shared" si="1"/>
        <v>#DIV/0!</v>
      </c>
      <c r="N28" s="82"/>
      <c r="O28" s="32"/>
    </row>
    <row r="29" spans="1:24" s="115" customFormat="1" ht="17.25" customHeight="1">
      <c r="B29" s="120" t="s">
        <v>48</v>
      </c>
      <c r="C29" s="121"/>
      <c r="D29" s="121"/>
      <c r="E29" s="121"/>
      <c r="F29" s="121"/>
      <c r="G29" s="59">
        <f t="shared" si="0"/>
        <v>17600</v>
      </c>
      <c r="H29" s="49">
        <f>H30+H33+H37</f>
        <v>1760</v>
      </c>
      <c r="I29" s="49">
        <f>I30+I33+I37</f>
        <v>5280</v>
      </c>
      <c r="J29" s="49">
        <f>SUM(J30:J37)</f>
        <v>5280</v>
      </c>
      <c r="K29" s="49">
        <f>SUM(K30:K37)</f>
        <v>5280</v>
      </c>
      <c r="L29" s="106" t="e">
        <f>L30+L33+L37</f>
        <v>#DIV/0!</v>
      </c>
      <c r="M29" s="74" t="e">
        <f t="shared" si="1"/>
        <v>#DIV/0!</v>
      </c>
      <c r="N29" s="82">
        <f>G29/G20</f>
        <v>0.1</v>
      </c>
      <c r="O29" s="32"/>
    </row>
    <row r="30" spans="1:24" s="122" customFormat="1" ht="17.25" customHeight="1">
      <c r="B30" s="99" t="s">
        <v>49</v>
      </c>
      <c r="C30" s="93"/>
      <c r="D30" s="93"/>
      <c r="E30" s="123">
        <v>6.5000000000000002E-2</v>
      </c>
      <c r="F30" s="124"/>
      <c r="G30" s="125">
        <f t="shared" si="0"/>
        <v>11440</v>
      </c>
      <c r="H30" s="126">
        <f>+H20*6.5%</f>
        <v>1144</v>
      </c>
      <c r="I30" s="126">
        <f>+I20*6.5%</f>
        <v>3432</v>
      </c>
      <c r="J30" s="126">
        <f>+J20*6.5%</f>
        <v>3432</v>
      </c>
      <c r="K30" s="126">
        <f>+K20*6.5%</f>
        <v>3432</v>
      </c>
      <c r="L30" s="94" t="e">
        <f>M30</f>
        <v>#DIV/0!</v>
      </c>
      <c r="M30" s="74" t="e">
        <f t="shared" si="1"/>
        <v>#DIV/0!</v>
      </c>
      <c r="N30" s="82"/>
      <c r="O30" s="19"/>
    </row>
    <row r="31" spans="1:24" s="128" customFormat="1" ht="17.25" hidden="1" customHeight="1">
      <c r="B31" s="129" t="s">
        <v>50</v>
      </c>
      <c r="C31" s="130"/>
      <c r="D31" s="130" t="s">
        <v>51</v>
      </c>
      <c r="E31" s="131"/>
      <c r="F31" s="130" t="s">
        <v>52</v>
      </c>
      <c r="G31" s="132">
        <f t="shared" si="0"/>
        <v>0</v>
      </c>
      <c r="H31" s="133"/>
      <c r="I31" s="133"/>
      <c r="J31" s="133"/>
      <c r="K31" s="133"/>
      <c r="L31" s="94">
        <f>(H31/3*$L$20)/($H$20/3)</f>
        <v>0</v>
      </c>
      <c r="M31" s="74" t="e">
        <f t="shared" si="1"/>
        <v>#DIV/0!</v>
      </c>
      <c r="N31" s="149"/>
      <c r="O31" s="134"/>
    </row>
    <row r="32" spans="1:24" s="128" customFormat="1" ht="17.25" hidden="1" customHeight="1">
      <c r="B32" s="135" t="s">
        <v>53</v>
      </c>
      <c r="C32" s="136">
        <f>C31</f>
        <v>0</v>
      </c>
      <c r="D32" s="136" t="s">
        <v>54</v>
      </c>
      <c r="E32" s="137"/>
      <c r="F32" s="136"/>
      <c r="G32" s="138">
        <f t="shared" si="0"/>
        <v>0</v>
      </c>
      <c r="H32" s="133"/>
      <c r="I32" s="133"/>
      <c r="J32" s="133"/>
      <c r="K32" s="133"/>
      <c r="L32" s="94">
        <f>(H32/3*$L$20)/($H$20/3)</f>
        <v>0</v>
      </c>
      <c r="M32" s="74" t="e">
        <f t="shared" si="1"/>
        <v>#DIV/0!</v>
      </c>
      <c r="N32" s="149"/>
      <c r="O32" s="134"/>
    </row>
    <row r="33" spans="2:16" s="122" customFormat="1" ht="17.25" customHeight="1">
      <c r="B33" s="99" t="s">
        <v>55</v>
      </c>
      <c r="C33" s="93"/>
      <c r="D33" s="93"/>
      <c r="E33" s="123">
        <v>2.1000000000000001E-2</v>
      </c>
      <c r="F33" s="124"/>
      <c r="G33" s="125">
        <f t="shared" si="0"/>
        <v>3696.0000000000005</v>
      </c>
      <c r="H33" s="126">
        <f>+H20*2.1%</f>
        <v>369.6</v>
      </c>
      <c r="I33" s="126">
        <f>+I20*2.1%</f>
        <v>1108.8000000000002</v>
      </c>
      <c r="J33" s="126">
        <f>+J20*2.1%</f>
        <v>1108.8000000000002</v>
      </c>
      <c r="K33" s="126">
        <f>+K20*2.1%</f>
        <v>1108.8000000000002</v>
      </c>
      <c r="L33" s="94" t="e">
        <f>M33</f>
        <v>#DIV/0!</v>
      </c>
      <c r="M33" s="74" t="e">
        <f t="shared" si="1"/>
        <v>#DIV/0!</v>
      </c>
      <c r="N33" s="18"/>
      <c r="O33" s="19"/>
    </row>
    <row r="34" spans="2:16" s="128" customFormat="1" ht="15.75" hidden="1" customHeight="1">
      <c r="B34" s="139"/>
      <c r="C34" s="130"/>
      <c r="D34" s="130">
        <f>1.44*24*3</f>
        <v>103.68</v>
      </c>
      <c r="E34" s="131" t="s">
        <v>56</v>
      </c>
      <c r="F34" s="140"/>
      <c r="G34" s="141"/>
      <c r="H34" s="133"/>
      <c r="I34" s="133"/>
      <c r="J34" s="133"/>
      <c r="K34" s="133"/>
      <c r="L34" s="94">
        <f>(H34/3*$L$20)/($H$20/3)</f>
        <v>0</v>
      </c>
      <c r="M34" s="74" t="e">
        <f>F34/$N$9</f>
        <v>#DIV/0!</v>
      </c>
      <c r="N34" s="149"/>
      <c r="O34" s="134"/>
      <c r="P34" s="128">
        <v>224</v>
      </c>
    </row>
    <row r="35" spans="2:16" s="128" customFormat="1" ht="15.75" hidden="1" customHeight="1">
      <c r="B35" s="130" t="s">
        <v>57</v>
      </c>
      <c r="C35" s="134"/>
      <c r="D35" s="130"/>
      <c r="E35" s="131"/>
      <c r="F35" s="130"/>
      <c r="G35" s="142"/>
      <c r="H35" s="133"/>
      <c r="I35" s="133"/>
      <c r="J35" s="133"/>
      <c r="K35" s="133"/>
      <c r="L35" s="94">
        <f>(H35/3*$L$20)/($H$20/3)</f>
        <v>0</v>
      </c>
      <c r="M35" s="74" t="e">
        <f t="shared" ref="M35:M61" si="2">G35/$N$9</f>
        <v>#DIV/0!</v>
      </c>
      <c r="N35" s="149"/>
      <c r="O35" s="134"/>
    </row>
    <row r="36" spans="2:16" s="128" customFormat="1" ht="15.75" hidden="1" customHeight="1">
      <c r="B36" s="143"/>
      <c r="C36" s="130" t="s">
        <v>58</v>
      </c>
      <c r="D36" s="130"/>
      <c r="E36" s="131"/>
      <c r="F36" s="143"/>
      <c r="G36" s="142" t="s">
        <v>59</v>
      </c>
      <c r="H36" s="133"/>
      <c r="I36" s="133"/>
      <c r="J36" s="133"/>
      <c r="K36" s="133"/>
      <c r="L36" s="94">
        <f>(H36/3*$L$20)/($H$20/3)</f>
        <v>0</v>
      </c>
      <c r="M36" s="74" t="e">
        <f t="shared" si="2"/>
        <v>#VALUE!</v>
      </c>
      <c r="N36" s="149"/>
      <c r="O36" s="134"/>
    </row>
    <row r="37" spans="2:16" s="122" customFormat="1" ht="17.25" customHeight="1">
      <c r="B37" s="144" t="s">
        <v>60</v>
      </c>
      <c r="C37" s="93"/>
      <c r="D37" s="93"/>
      <c r="E37" s="123">
        <v>1.4E-2</v>
      </c>
      <c r="F37" s="145"/>
      <c r="G37" s="125">
        <f>SUM(H37:K37)</f>
        <v>2463.9999999999995</v>
      </c>
      <c r="H37" s="126">
        <f>+H20*1.4%</f>
        <v>246.39999999999998</v>
      </c>
      <c r="I37" s="126">
        <f>+I20*1.4%</f>
        <v>739.19999999999993</v>
      </c>
      <c r="J37" s="126">
        <f>+J20*1.4%</f>
        <v>739.19999999999993</v>
      </c>
      <c r="K37" s="126">
        <f>+K20*1.4%</f>
        <v>739.19999999999993</v>
      </c>
      <c r="L37" s="94" t="e">
        <f>M37</f>
        <v>#DIV/0!</v>
      </c>
      <c r="M37" s="74" t="e">
        <f t="shared" si="2"/>
        <v>#DIV/0!</v>
      </c>
      <c r="N37" s="18"/>
      <c r="O37" s="19"/>
    </row>
    <row r="38" spans="2:16" s="128" customFormat="1" ht="18.75" hidden="1" customHeight="1">
      <c r="B38" s="139" t="s">
        <v>61</v>
      </c>
      <c r="C38" s="130"/>
      <c r="D38" s="130">
        <f>50</f>
        <v>50</v>
      </c>
      <c r="E38" s="130" t="s">
        <v>62</v>
      </c>
      <c r="F38" s="134"/>
      <c r="G38" s="146"/>
      <c r="H38" s="147"/>
      <c r="I38" s="147"/>
      <c r="J38" s="147"/>
      <c r="K38" s="147"/>
      <c r="L38" s="148"/>
      <c r="M38" s="74" t="e">
        <f t="shared" si="2"/>
        <v>#DIV/0!</v>
      </c>
      <c r="N38" s="149"/>
      <c r="O38" s="134"/>
      <c r="P38" s="128">
        <v>224</v>
      </c>
    </row>
    <row r="39" spans="2:16" s="128" customFormat="1" ht="18.75" hidden="1" customHeight="1">
      <c r="B39" s="139" t="s">
        <v>63</v>
      </c>
      <c r="C39" s="130"/>
      <c r="D39" s="130">
        <f>50</f>
        <v>50</v>
      </c>
      <c r="E39" s="130" t="s">
        <v>62</v>
      </c>
      <c r="F39" s="134"/>
      <c r="G39" s="146"/>
      <c r="H39" s="147"/>
      <c r="I39" s="147"/>
      <c r="J39" s="147"/>
      <c r="K39" s="147">
        <f>H39</f>
        <v>0</v>
      </c>
      <c r="L39" s="148"/>
      <c r="M39" s="74" t="e">
        <f t="shared" si="2"/>
        <v>#DIV/0!</v>
      </c>
      <c r="N39" s="149"/>
      <c r="O39" s="134"/>
      <c r="P39" s="128">
        <v>224</v>
      </c>
    </row>
    <row r="40" spans="2:16" s="122" customFormat="1" ht="11.25" hidden="1" customHeight="1">
      <c r="B40" s="150"/>
      <c r="C40" s="52"/>
      <c r="D40" s="52"/>
      <c r="E40" s="52"/>
      <c r="F40" s="52"/>
      <c r="G40" s="50"/>
      <c r="H40" s="50"/>
      <c r="I40" s="67"/>
      <c r="J40" s="151"/>
      <c r="K40" s="151"/>
      <c r="L40" s="148"/>
      <c r="M40" s="74" t="e">
        <f t="shared" si="2"/>
        <v>#DIV/0!</v>
      </c>
      <c r="N40" s="18"/>
      <c r="O40" s="19"/>
    </row>
    <row r="41" spans="2:16" s="115" customFormat="1" ht="18.75" hidden="1" customHeight="1">
      <c r="B41" s="116" t="s">
        <v>64</v>
      </c>
      <c r="C41" s="117"/>
      <c r="D41" s="117"/>
      <c r="E41" s="117"/>
      <c r="F41" s="117"/>
      <c r="G41" s="59"/>
      <c r="H41" s="152"/>
      <c r="I41" s="152"/>
      <c r="J41" s="152"/>
      <c r="K41" s="153"/>
      <c r="L41" s="154"/>
      <c r="M41" s="74" t="e">
        <f t="shared" si="2"/>
        <v>#DIV/0!</v>
      </c>
      <c r="N41" s="36"/>
      <c r="O41" s="32"/>
    </row>
    <row r="42" spans="2:16" s="115" customFormat="1" ht="20.25" hidden="1" customHeight="1">
      <c r="B42" s="155"/>
      <c r="C42" s="156"/>
      <c r="D42" s="156"/>
      <c r="E42" s="156"/>
      <c r="F42" s="156"/>
      <c r="G42" s="49">
        <f t="shared" ref="G42:G52" si="3">SUM(H42:K42)</f>
        <v>0</v>
      </c>
      <c r="H42" s="157"/>
      <c r="I42" s="157"/>
      <c r="J42" s="157"/>
      <c r="K42" s="157"/>
      <c r="L42" s="119">
        <f>(H42/3*$L$20)/($H$20/3)</f>
        <v>0</v>
      </c>
      <c r="M42" s="74" t="e">
        <f t="shared" si="2"/>
        <v>#DIV/0!</v>
      </c>
      <c r="N42" s="36"/>
      <c r="O42" s="32"/>
    </row>
    <row r="43" spans="2:16" s="115" customFormat="1" ht="21" hidden="1" customHeight="1">
      <c r="B43" s="158" t="s">
        <v>65</v>
      </c>
      <c r="C43" s="159"/>
      <c r="D43" s="159"/>
      <c r="E43" s="159"/>
      <c r="F43" s="159"/>
      <c r="G43" s="49">
        <f t="shared" si="3"/>
        <v>0</v>
      </c>
      <c r="H43" s="152">
        <f>H44+H46+H47</f>
        <v>0</v>
      </c>
      <c r="I43" s="152">
        <f>I44+I46+I47</f>
        <v>0</v>
      </c>
      <c r="J43" s="152">
        <f>J44+J46+J47</f>
        <v>0</v>
      </c>
      <c r="K43" s="152">
        <f>K44+K46+K47</f>
        <v>0</v>
      </c>
      <c r="L43" s="100" t="e">
        <f>L44+L46+L47</f>
        <v>#DIV/0!</v>
      </c>
      <c r="M43" s="74" t="e">
        <f t="shared" si="2"/>
        <v>#DIV/0!</v>
      </c>
      <c r="N43" s="36"/>
      <c r="O43" s="32"/>
    </row>
    <row r="44" spans="2:16" s="160" customFormat="1" ht="15" hidden="1" customHeight="1">
      <c r="B44" s="144" t="s">
        <v>66</v>
      </c>
      <c r="C44" s="161"/>
      <c r="D44" s="161"/>
      <c r="E44" s="161"/>
      <c r="F44" s="145"/>
      <c r="G44" s="49">
        <f t="shared" si="3"/>
        <v>0</v>
      </c>
      <c r="H44" s="49"/>
      <c r="I44" s="49"/>
      <c r="J44" s="49"/>
      <c r="K44" s="49"/>
      <c r="L44" s="162">
        <f>(H44/3*$L$20)/($H$20/3)</f>
        <v>0</v>
      </c>
      <c r="M44" s="74" t="e">
        <f t="shared" si="2"/>
        <v>#DIV/0!</v>
      </c>
      <c r="N44" s="36"/>
      <c r="O44" s="32"/>
    </row>
    <row r="45" spans="2:16" s="128" customFormat="1" ht="15" hidden="1" customHeight="1">
      <c r="B45" s="139" t="s">
        <v>67</v>
      </c>
      <c r="C45" s="130"/>
      <c r="D45" s="130"/>
      <c r="E45" s="130"/>
      <c r="F45" s="130" t="s">
        <v>68</v>
      </c>
      <c r="G45" s="49">
        <f t="shared" si="3"/>
        <v>0</v>
      </c>
      <c r="H45" s="147">
        <f>ROUND(E45*0.976*1.18,1)</f>
        <v>0</v>
      </c>
      <c r="I45" s="147">
        <f>ROUND(E45*0.976*1.18,1)</f>
        <v>0</v>
      </c>
      <c r="J45" s="147">
        <f>ROUND(E45*0.976*1.18,1)</f>
        <v>0</v>
      </c>
      <c r="K45" s="147">
        <f>ROUND(E45*0.976*1.18,1)</f>
        <v>0</v>
      </c>
      <c r="L45" s="163">
        <f>(H45/3*$L$20)/($H$20/3)</f>
        <v>0</v>
      </c>
      <c r="M45" s="74" t="e">
        <f t="shared" si="2"/>
        <v>#DIV/0!</v>
      </c>
      <c r="N45" s="149"/>
      <c r="O45" s="134"/>
    </row>
    <row r="46" spans="2:16" s="122" customFormat="1" ht="15" hidden="1" customHeight="1">
      <c r="B46" s="99" t="s">
        <v>69</v>
      </c>
      <c r="C46" s="93"/>
      <c r="D46" s="93"/>
      <c r="E46" s="93"/>
      <c r="F46" s="124"/>
      <c r="G46" s="49">
        <f t="shared" si="3"/>
        <v>0</v>
      </c>
      <c r="H46" s="49"/>
      <c r="I46" s="49"/>
      <c r="J46" s="49"/>
      <c r="K46" s="49"/>
      <c r="L46" s="119" t="e">
        <f>M46</f>
        <v>#DIV/0!</v>
      </c>
      <c r="M46" s="74" t="e">
        <f t="shared" si="2"/>
        <v>#DIV/0!</v>
      </c>
      <c r="N46" s="18"/>
      <c r="O46" s="19"/>
    </row>
    <row r="47" spans="2:16" s="128" customFormat="1" ht="15" hidden="1" customHeight="1">
      <c r="B47" s="99" t="s">
        <v>70</v>
      </c>
      <c r="C47" s="164"/>
      <c r="D47" s="164"/>
      <c r="E47" s="164"/>
      <c r="F47" s="164"/>
      <c r="G47" s="49">
        <f t="shared" si="3"/>
        <v>0</v>
      </c>
      <c r="H47" s="49"/>
      <c r="I47" s="49"/>
      <c r="J47" s="49"/>
      <c r="K47" s="49"/>
      <c r="L47" s="165" t="e">
        <f>M47</f>
        <v>#DIV/0!</v>
      </c>
      <c r="M47" s="74" t="e">
        <f t="shared" si="2"/>
        <v>#DIV/0!</v>
      </c>
      <c r="N47" s="149"/>
      <c r="O47" s="134"/>
    </row>
    <row r="48" spans="2:16" s="115" customFormat="1" ht="18" customHeight="1">
      <c r="B48" s="120" t="s">
        <v>71</v>
      </c>
      <c r="C48" s="121"/>
      <c r="D48" s="121"/>
      <c r="E48" s="121"/>
      <c r="F48" s="121"/>
      <c r="G48" s="49">
        <f t="shared" si="3"/>
        <v>11088</v>
      </c>
      <c r="H48" s="49">
        <f>SUM(H49:H52)</f>
        <v>1108.8</v>
      </c>
      <c r="I48" s="49">
        <f>SUM(I49:I52)</f>
        <v>3326.4</v>
      </c>
      <c r="J48" s="49">
        <f>SUM(J49:J52)</f>
        <v>3326.4</v>
      </c>
      <c r="K48" s="49">
        <f>SUM(K49:K52)</f>
        <v>3326.4</v>
      </c>
      <c r="L48" s="119" t="e">
        <f>L49+L50+L51</f>
        <v>#DIV/0!</v>
      </c>
      <c r="M48" s="74" t="e">
        <f t="shared" si="2"/>
        <v>#DIV/0!</v>
      </c>
      <c r="N48" s="36"/>
      <c r="O48" s="32"/>
    </row>
    <row r="49" spans="1:15" s="122" customFormat="1" ht="32.25" customHeight="1">
      <c r="B49" s="9" t="s">
        <v>72</v>
      </c>
      <c r="C49" s="9"/>
      <c r="D49" s="9"/>
      <c r="E49" s="167">
        <v>0.05</v>
      </c>
      <c r="F49" s="93"/>
      <c r="G49" s="49">
        <f t="shared" si="3"/>
        <v>8800</v>
      </c>
      <c r="H49" s="49">
        <f>H20*5%</f>
        <v>880</v>
      </c>
      <c r="I49" s="49">
        <f>I20*5%</f>
        <v>2640</v>
      </c>
      <c r="J49" s="49">
        <f>J20*5%</f>
        <v>2640</v>
      </c>
      <c r="K49" s="49">
        <f>K20*5%</f>
        <v>2640</v>
      </c>
      <c r="L49" s="165" t="e">
        <f>M49</f>
        <v>#DIV/0!</v>
      </c>
      <c r="M49" s="74" t="e">
        <f t="shared" si="2"/>
        <v>#DIV/0!</v>
      </c>
      <c r="N49" s="82">
        <f>G49/G20</f>
        <v>0.05</v>
      </c>
      <c r="O49" s="19"/>
    </row>
    <row r="50" spans="1:15" s="122" customFormat="1" ht="18.75" customHeight="1">
      <c r="B50" s="99" t="s">
        <v>73</v>
      </c>
      <c r="C50" s="105"/>
      <c r="D50" s="105"/>
      <c r="E50" s="168">
        <v>1.2999999999999999E-2</v>
      </c>
      <c r="F50" s="169"/>
      <c r="G50" s="49">
        <f t="shared" si="3"/>
        <v>2288</v>
      </c>
      <c r="H50" s="49">
        <f>H20*1.3%</f>
        <v>228.8</v>
      </c>
      <c r="I50" s="49">
        <f>I20*1.3%</f>
        <v>686.40000000000009</v>
      </c>
      <c r="J50" s="49">
        <f>J20*1.3%</f>
        <v>686.40000000000009</v>
      </c>
      <c r="K50" s="49">
        <f>K20*1.3%</f>
        <v>686.40000000000009</v>
      </c>
      <c r="L50" s="100">
        <f>G50/7296</f>
        <v>0.31359649122807015</v>
      </c>
      <c r="M50" s="74" t="e">
        <f t="shared" si="2"/>
        <v>#DIV/0!</v>
      </c>
      <c r="N50" s="82">
        <f>G50/G20</f>
        <v>1.2999999999999999E-2</v>
      </c>
      <c r="O50" s="19"/>
    </row>
    <row r="51" spans="1:15" s="122" customFormat="1" ht="15" hidden="1" customHeight="1">
      <c r="B51" s="99" t="s">
        <v>74</v>
      </c>
      <c r="C51" s="161"/>
      <c r="D51" s="161"/>
      <c r="E51" s="161"/>
      <c r="F51" s="161"/>
      <c r="G51" s="49">
        <f t="shared" si="3"/>
        <v>0</v>
      </c>
      <c r="H51" s="49"/>
      <c r="I51" s="49"/>
      <c r="J51" s="49"/>
      <c r="K51" s="49"/>
      <c r="L51" s="100">
        <f>L52</f>
        <v>0</v>
      </c>
      <c r="M51" s="74" t="e">
        <f t="shared" si="2"/>
        <v>#DIV/0!</v>
      </c>
      <c r="N51" s="18"/>
      <c r="O51" s="19"/>
    </row>
    <row r="52" spans="1:15" s="128" customFormat="1" ht="16.5" hidden="1" customHeight="1">
      <c r="B52" s="170" t="s">
        <v>75</v>
      </c>
      <c r="C52" s="171"/>
      <c r="D52" s="171"/>
      <c r="E52" s="172">
        <v>0.6</v>
      </c>
      <c r="F52" s="171"/>
      <c r="G52" s="49">
        <f t="shared" si="3"/>
        <v>0</v>
      </c>
      <c r="H52" s="49">
        <f>H20*60%-H21</f>
        <v>0</v>
      </c>
      <c r="I52" s="49">
        <f>I20*60%-I21</f>
        <v>0</v>
      </c>
      <c r="J52" s="49">
        <f>J20*60%-J21</f>
        <v>0</v>
      </c>
      <c r="K52" s="49">
        <f>K20*60%-K21</f>
        <v>0</v>
      </c>
      <c r="L52" s="173">
        <f>G52/1440</f>
        <v>0</v>
      </c>
      <c r="M52" s="74" t="e">
        <f t="shared" si="2"/>
        <v>#DIV/0!</v>
      </c>
      <c r="N52" s="149"/>
      <c r="O52" s="134"/>
    </row>
    <row r="53" spans="1:15" s="128" customFormat="1" ht="15" hidden="1" customHeight="1">
      <c r="B53" s="139"/>
      <c r="C53" s="130"/>
      <c r="D53" s="130"/>
      <c r="E53" s="130"/>
      <c r="F53" s="130"/>
      <c r="G53" s="59"/>
      <c r="H53" s="152"/>
      <c r="I53" s="152"/>
      <c r="J53" s="152"/>
      <c r="K53" s="153"/>
      <c r="L53" s="174"/>
      <c r="M53" s="74" t="e">
        <f t="shared" si="2"/>
        <v>#DIV/0!</v>
      </c>
      <c r="N53" s="149"/>
      <c r="O53" s="134"/>
    </row>
    <row r="54" spans="1:15" s="19" customFormat="1" ht="15" hidden="1" customHeight="1">
      <c r="A54" s="52"/>
      <c r="B54" s="175" t="s">
        <v>76</v>
      </c>
      <c r="C54" s="176"/>
      <c r="D54" s="176"/>
      <c r="E54" s="176"/>
      <c r="F54" s="176"/>
      <c r="G54" s="59">
        <f t="shared" ref="G54:L54" si="4">G55+G56</f>
        <v>0</v>
      </c>
      <c r="H54" s="59">
        <f t="shared" si="4"/>
        <v>0</v>
      </c>
      <c r="I54" s="59">
        <f t="shared" si="4"/>
        <v>0</v>
      </c>
      <c r="J54" s="59">
        <f t="shared" si="4"/>
        <v>0</v>
      </c>
      <c r="K54" s="59">
        <f t="shared" si="4"/>
        <v>0</v>
      </c>
      <c r="L54" s="177" t="e">
        <f t="shared" si="4"/>
        <v>#DIV/0!</v>
      </c>
      <c r="M54" s="74" t="e">
        <f t="shared" si="2"/>
        <v>#DIV/0!</v>
      </c>
      <c r="N54" s="18"/>
    </row>
    <row r="55" spans="1:15" s="19" customFormat="1" ht="15" hidden="1" customHeight="1">
      <c r="A55" s="52"/>
      <c r="B55" s="139" t="s">
        <v>77</v>
      </c>
      <c r="C55" s="178"/>
      <c r="D55" s="178"/>
      <c r="E55" s="178"/>
      <c r="F55" s="178"/>
      <c r="G55" s="49"/>
      <c r="H55" s="49"/>
      <c r="I55" s="49"/>
      <c r="J55" s="49"/>
      <c r="K55" s="49"/>
      <c r="L55" s="177" t="e">
        <f>M55</f>
        <v>#DIV/0!</v>
      </c>
      <c r="M55" s="74" t="e">
        <f t="shared" si="2"/>
        <v>#DIV/0!</v>
      </c>
      <c r="N55" s="18"/>
    </row>
    <row r="56" spans="1:15" s="19" customFormat="1" ht="15" hidden="1" customHeight="1">
      <c r="A56" s="52"/>
      <c r="B56" s="155" t="s">
        <v>78</v>
      </c>
      <c r="C56" s="179"/>
      <c r="D56" s="179"/>
      <c r="E56" s="179"/>
      <c r="F56" s="180"/>
      <c r="G56" s="58">
        <f t="shared" ref="G56:G71" si="5">SUM(H56:K56)</f>
        <v>0</v>
      </c>
      <c r="H56" s="58"/>
      <c r="I56" s="181"/>
      <c r="J56" s="58"/>
      <c r="K56" s="182"/>
      <c r="L56" s="174" t="e">
        <f>M56</f>
        <v>#DIV/0!</v>
      </c>
      <c r="M56" s="74" t="e">
        <f t="shared" si="2"/>
        <v>#DIV/0!</v>
      </c>
      <c r="N56" s="18"/>
    </row>
    <row r="57" spans="1:15" s="19" customFormat="1" ht="15" hidden="1" customHeight="1">
      <c r="A57" s="52"/>
      <c r="B57" s="183"/>
      <c r="C57" s="184"/>
      <c r="D57" s="184"/>
      <c r="E57" s="184"/>
      <c r="F57" s="184"/>
      <c r="G57" s="185">
        <f t="shared" si="5"/>
        <v>0</v>
      </c>
      <c r="H57" s="185"/>
      <c r="I57" s="185"/>
      <c r="J57" s="185"/>
      <c r="K57" s="185"/>
      <c r="L57" s="186">
        <f>G57/7296</f>
        <v>0</v>
      </c>
      <c r="M57" s="74" t="e">
        <f t="shared" si="2"/>
        <v>#DIV/0!</v>
      </c>
      <c r="N57" s="18"/>
    </row>
    <row r="58" spans="1:15" s="19" customFormat="1" ht="24.95" customHeight="1">
      <c r="A58" s="52"/>
      <c r="B58" s="187" t="s">
        <v>79</v>
      </c>
      <c r="C58" s="188"/>
      <c r="D58" s="188"/>
      <c r="E58" s="188"/>
      <c r="F58" s="188"/>
      <c r="G58" s="113">
        <f t="shared" si="5"/>
        <v>41712</v>
      </c>
      <c r="H58" s="113">
        <f>H65+H59</f>
        <v>4171.2</v>
      </c>
      <c r="I58" s="113">
        <f>I65+I59</f>
        <v>12513.599999999999</v>
      </c>
      <c r="J58" s="113">
        <f>J65+J59</f>
        <v>12513.599999999999</v>
      </c>
      <c r="K58" s="113">
        <f>K65+K59</f>
        <v>12513.599999999999</v>
      </c>
      <c r="L58" s="189" t="e">
        <f>L65+L59</f>
        <v>#DIV/0!</v>
      </c>
      <c r="M58" s="74" t="e">
        <f t="shared" si="2"/>
        <v>#DIV/0!</v>
      </c>
      <c r="N58" s="82">
        <f>G58/G20</f>
        <v>0.23699999999999999</v>
      </c>
    </row>
    <row r="59" spans="1:15" s="32" customFormat="1" ht="17.25" customHeight="1">
      <c r="B59" s="190" t="s">
        <v>80</v>
      </c>
      <c r="C59" s="117"/>
      <c r="D59" s="117"/>
      <c r="E59" s="117"/>
      <c r="F59" s="117"/>
      <c r="G59" s="191">
        <f t="shared" si="5"/>
        <v>41712</v>
      </c>
      <c r="H59" s="191">
        <f>H60</f>
        <v>4171.2</v>
      </c>
      <c r="I59" s="191">
        <f>I60</f>
        <v>12513.599999999999</v>
      </c>
      <c r="J59" s="191">
        <f>J60</f>
        <v>12513.599999999999</v>
      </c>
      <c r="K59" s="191">
        <f>K60</f>
        <v>12513.599999999999</v>
      </c>
      <c r="L59" s="192" t="e">
        <f>M59</f>
        <v>#DIV/0!</v>
      </c>
      <c r="M59" s="74" t="e">
        <f t="shared" si="2"/>
        <v>#DIV/0!</v>
      </c>
      <c r="N59" s="36"/>
    </row>
    <row r="60" spans="1:15" s="160" customFormat="1" ht="17.25" customHeight="1">
      <c r="B60" s="99" t="s">
        <v>81</v>
      </c>
      <c r="C60" s="93"/>
      <c r="D60" s="93"/>
      <c r="E60" s="93"/>
      <c r="F60" s="93"/>
      <c r="G60" s="49">
        <f t="shared" si="5"/>
        <v>41712</v>
      </c>
      <c r="H60" s="49">
        <f>H20*23.7%</f>
        <v>4171.2</v>
      </c>
      <c r="I60" s="49">
        <f>I20*23.7%</f>
        <v>12513.599999999999</v>
      </c>
      <c r="J60" s="49">
        <f>J20*23.7%</f>
        <v>12513.599999999999</v>
      </c>
      <c r="K60" s="49">
        <f>K20*23.7%</f>
        <v>12513.599999999999</v>
      </c>
      <c r="L60" s="192" t="e">
        <f>G60/$N$9</f>
        <v>#DIV/0!</v>
      </c>
      <c r="M60" s="74" t="e">
        <f t="shared" si="2"/>
        <v>#DIV/0!</v>
      </c>
      <c r="N60" s="36"/>
      <c r="O60" s="32"/>
    </row>
    <row r="61" spans="1:15" s="160" customFormat="1" ht="17.25" hidden="1" customHeight="1">
      <c r="B61" s="99" t="s">
        <v>82</v>
      </c>
      <c r="C61" s="93"/>
      <c r="D61" s="93"/>
      <c r="E61" s="93"/>
      <c r="F61" s="93"/>
      <c r="G61" s="49">
        <f t="shared" si="5"/>
        <v>0</v>
      </c>
      <c r="H61" s="49"/>
      <c r="I61" s="49"/>
      <c r="J61" s="49"/>
      <c r="K61" s="49"/>
      <c r="L61" s="193" t="e">
        <f>G61/$N$9</f>
        <v>#DIV/0!</v>
      </c>
      <c r="M61" s="74" t="e">
        <f t="shared" si="2"/>
        <v>#DIV/0!</v>
      </c>
      <c r="N61" s="36"/>
      <c r="O61" s="32"/>
    </row>
    <row r="62" spans="1:15" s="160" customFormat="1" ht="17.25" hidden="1" customHeight="1">
      <c r="B62" s="144" t="s">
        <v>83</v>
      </c>
      <c r="C62" s="161"/>
      <c r="D62" s="161"/>
      <c r="E62" s="161"/>
      <c r="F62" s="161"/>
      <c r="G62" s="49">
        <f t="shared" si="5"/>
        <v>0</v>
      </c>
      <c r="H62" s="49"/>
      <c r="I62" s="49"/>
      <c r="J62" s="49"/>
      <c r="K62" s="49"/>
      <c r="L62" s="193"/>
      <c r="M62" s="74"/>
      <c r="N62" s="36"/>
      <c r="O62" s="32"/>
    </row>
    <row r="63" spans="1:15" s="122" customFormat="1" ht="17.25" hidden="1" customHeight="1">
      <c r="B63" s="144" t="s">
        <v>84</v>
      </c>
      <c r="C63" s="161"/>
      <c r="D63" s="161"/>
      <c r="E63" s="161"/>
      <c r="F63" s="161"/>
      <c r="G63" s="49">
        <f t="shared" si="5"/>
        <v>0</v>
      </c>
      <c r="H63" s="49"/>
      <c r="I63" s="49"/>
      <c r="J63" s="49"/>
      <c r="K63" s="49"/>
      <c r="L63" s="193" t="e">
        <f>M63</f>
        <v>#DIV/0!</v>
      </c>
      <c r="M63" s="74" t="e">
        <f t="shared" ref="M63:M71" si="6">G63/$N$9</f>
        <v>#DIV/0!</v>
      </c>
      <c r="N63" s="18"/>
      <c r="O63" s="19"/>
    </row>
    <row r="64" spans="1:15" s="122" customFormat="1" ht="17.25" hidden="1" customHeight="1">
      <c r="B64" s="99" t="s">
        <v>85</v>
      </c>
      <c r="C64" s="93"/>
      <c r="D64" s="93"/>
      <c r="E64" s="93"/>
      <c r="F64" s="93"/>
      <c r="G64" s="49">
        <f t="shared" si="5"/>
        <v>0</v>
      </c>
      <c r="H64" s="49"/>
      <c r="I64" s="49"/>
      <c r="J64" s="49"/>
      <c r="K64" s="49"/>
      <c r="L64" s="193" t="e">
        <f>G64/$N$9</f>
        <v>#DIV/0!</v>
      </c>
      <c r="M64" s="74" t="e">
        <f t="shared" si="6"/>
        <v>#DIV/0!</v>
      </c>
      <c r="N64" s="18"/>
      <c r="O64" s="19"/>
    </row>
    <row r="65" spans="2:15" s="115" customFormat="1" ht="16.5" hidden="1" customHeight="1">
      <c r="B65" s="120" t="s">
        <v>86</v>
      </c>
      <c r="C65" s="121"/>
      <c r="D65" s="121"/>
      <c r="E65" s="121"/>
      <c r="F65" s="121"/>
      <c r="G65" s="49">
        <f t="shared" si="5"/>
        <v>0</v>
      </c>
      <c r="H65" s="49"/>
      <c r="I65" s="49"/>
      <c r="J65" s="49"/>
      <c r="K65" s="49"/>
      <c r="L65" s="192" t="e">
        <f>L67+L68+L69</f>
        <v>#DIV/0!</v>
      </c>
      <c r="M65" s="74" t="e">
        <f t="shared" si="6"/>
        <v>#DIV/0!</v>
      </c>
      <c r="N65" s="36"/>
      <c r="O65" s="32"/>
    </row>
    <row r="66" spans="2:15" s="160" customFormat="1" ht="15" hidden="1" customHeight="1">
      <c r="B66" s="99" t="s">
        <v>87</v>
      </c>
      <c r="C66" s="194"/>
      <c r="D66" s="194"/>
      <c r="E66" s="194"/>
      <c r="F66" s="194"/>
      <c r="G66" s="49">
        <f t="shared" si="5"/>
        <v>0</v>
      </c>
      <c r="H66" s="49"/>
      <c r="I66" s="49"/>
      <c r="J66" s="49"/>
      <c r="K66" s="49"/>
      <c r="L66" s="193" t="e">
        <f>G66/$N$9</f>
        <v>#DIV/0!</v>
      </c>
      <c r="M66" s="74" t="e">
        <f t="shared" si="6"/>
        <v>#DIV/0!</v>
      </c>
      <c r="N66" s="36"/>
      <c r="O66" s="32"/>
    </row>
    <row r="67" spans="2:15" s="160" customFormat="1" ht="15" hidden="1" customHeight="1">
      <c r="B67" s="99" t="s">
        <v>88</v>
      </c>
      <c r="C67" s="93"/>
      <c r="D67" s="93"/>
      <c r="E67" s="93"/>
      <c r="F67" s="93"/>
      <c r="G67" s="49">
        <f t="shared" si="5"/>
        <v>0</v>
      </c>
      <c r="H67" s="49"/>
      <c r="I67" s="49"/>
      <c r="J67" s="49"/>
      <c r="K67" s="49"/>
      <c r="L67" s="193" t="e">
        <f>G67/$N$9</f>
        <v>#DIV/0!</v>
      </c>
      <c r="M67" s="74" t="e">
        <f t="shared" si="6"/>
        <v>#DIV/0!</v>
      </c>
      <c r="N67" s="36"/>
      <c r="O67" s="32"/>
    </row>
    <row r="68" spans="2:15" s="122" customFormat="1" ht="15" hidden="1" customHeight="1">
      <c r="B68" s="99" t="s">
        <v>89</v>
      </c>
      <c r="C68" s="93"/>
      <c r="D68" s="93"/>
      <c r="E68" s="93"/>
      <c r="F68" s="93"/>
      <c r="G68" s="49">
        <f t="shared" si="5"/>
        <v>0</v>
      </c>
      <c r="H68" s="49"/>
      <c r="I68" s="49"/>
      <c r="J68" s="49"/>
      <c r="K68" s="49"/>
      <c r="L68" s="193" t="e">
        <f>G68/$N$9</f>
        <v>#DIV/0!</v>
      </c>
      <c r="M68" s="74" t="e">
        <f t="shared" si="6"/>
        <v>#DIV/0!</v>
      </c>
      <c r="N68" s="18"/>
      <c r="O68" s="19"/>
    </row>
    <row r="69" spans="2:15" s="122" customFormat="1" ht="15" hidden="1" customHeight="1">
      <c r="B69" s="99" t="s">
        <v>90</v>
      </c>
      <c r="C69" s="93"/>
      <c r="D69" s="93"/>
      <c r="E69" s="93"/>
      <c r="F69" s="93"/>
      <c r="G69" s="49">
        <f t="shared" si="5"/>
        <v>0</v>
      </c>
      <c r="H69" s="49">
        <f>SUM(H70:H75)</f>
        <v>0</v>
      </c>
      <c r="I69" s="49">
        <f>SUM(I70:I75)</f>
        <v>0</v>
      </c>
      <c r="J69" s="49">
        <f>SUM(J70:J75)</f>
        <v>0</v>
      </c>
      <c r="K69" s="49">
        <f>SUM(K70:K75)</f>
        <v>0</v>
      </c>
      <c r="L69" s="177" t="e">
        <f>SUM(L70:L75)</f>
        <v>#DIV/0!</v>
      </c>
      <c r="M69" s="74" t="e">
        <f t="shared" si="6"/>
        <v>#DIV/0!</v>
      </c>
      <c r="N69" s="18"/>
      <c r="O69" s="19"/>
    </row>
    <row r="70" spans="2:15" s="122" customFormat="1" ht="15" hidden="1" customHeight="1">
      <c r="B70" s="195" t="s">
        <v>91</v>
      </c>
      <c r="C70" s="196"/>
      <c r="D70" s="196"/>
      <c r="E70" s="196"/>
      <c r="F70" s="197"/>
      <c r="G70" s="49">
        <f t="shared" si="5"/>
        <v>0</v>
      </c>
      <c r="H70" s="49"/>
      <c r="I70" s="49"/>
      <c r="J70" s="49"/>
      <c r="K70" s="49"/>
      <c r="L70" s="165" t="e">
        <f>M70</f>
        <v>#DIV/0!</v>
      </c>
      <c r="M70" s="74" t="e">
        <f t="shared" si="6"/>
        <v>#DIV/0!</v>
      </c>
      <c r="N70" s="18"/>
      <c r="O70" s="19"/>
    </row>
    <row r="71" spans="2:15" s="122" customFormat="1" ht="16.5" hidden="1" customHeight="1">
      <c r="B71" s="144" t="s">
        <v>92</v>
      </c>
      <c r="C71" s="161"/>
      <c r="D71" s="161"/>
      <c r="E71" s="161"/>
      <c r="F71" s="198"/>
      <c r="G71" s="153">
        <f t="shared" si="5"/>
        <v>0</v>
      </c>
      <c r="H71" s="49"/>
      <c r="I71" s="49"/>
      <c r="J71" s="49"/>
      <c r="K71" s="49"/>
      <c r="L71" s="106" t="e">
        <f>M71</f>
        <v>#DIV/0!</v>
      </c>
      <c r="M71" s="74" t="e">
        <f t="shared" si="6"/>
        <v>#DIV/0!</v>
      </c>
      <c r="N71" s="18"/>
      <c r="O71" s="19"/>
    </row>
    <row r="72" spans="2:15" s="122" customFormat="1" ht="15" hidden="1" customHeight="1">
      <c r="B72" s="144" t="s">
        <v>93</v>
      </c>
      <c r="C72" s="161"/>
      <c r="D72" s="161"/>
      <c r="E72" s="161"/>
      <c r="F72" s="198"/>
      <c r="G72" s="49">
        <f>+H72+I72+J72+K72</f>
        <v>0</v>
      </c>
      <c r="H72" s="49"/>
      <c r="I72" s="49"/>
      <c r="J72" s="49"/>
      <c r="K72" s="49"/>
      <c r="L72" s="199" t="e">
        <f>L20-L71-L26</f>
        <v>#DIV/0!</v>
      </c>
      <c r="M72" s="17" t="e">
        <f>G75/$N$9</f>
        <v>#DIV/0!</v>
      </c>
      <c r="N72" s="18"/>
      <c r="O72" s="19"/>
    </row>
    <row r="73" spans="2:15" s="122" customFormat="1" ht="15" hidden="1" customHeight="1">
      <c r="B73" s="99" t="s">
        <v>94</v>
      </c>
      <c r="C73" s="93"/>
      <c r="D73" s="93"/>
      <c r="E73" s="93"/>
      <c r="F73" s="200"/>
      <c r="G73" s="49">
        <f>SUM(H73:K73)</f>
        <v>0</v>
      </c>
      <c r="H73" s="49"/>
      <c r="I73" s="49"/>
      <c r="J73" s="49"/>
      <c r="K73" s="49"/>
      <c r="L73" s="193" t="e">
        <f>M73</f>
        <v>#DIV/0!</v>
      </c>
      <c r="M73" s="17" t="e">
        <f>G73/$N$9</f>
        <v>#DIV/0!</v>
      </c>
      <c r="N73" s="18"/>
      <c r="O73" s="19"/>
    </row>
    <row r="74" spans="2:15" s="122" customFormat="1" ht="15" hidden="1" customHeight="1">
      <c r="B74" s="99" t="s">
        <v>95</v>
      </c>
      <c r="C74" s="93"/>
      <c r="D74" s="93"/>
      <c r="E74" s="93"/>
      <c r="F74" s="200"/>
      <c r="G74" s="49">
        <f>SUM(H74:K74)</f>
        <v>0</v>
      </c>
      <c r="H74" s="49"/>
      <c r="I74" s="49"/>
      <c r="J74" s="49"/>
      <c r="K74" s="49"/>
      <c r="L74" s="119">
        <f>M74</f>
        <v>0</v>
      </c>
      <c r="M74" s="17"/>
      <c r="N74" s="18"/>
      <c r="O74" s="19"/>
    </row>
    <row r="75" spans="2:15" s="122" customFormat="1" ht="15" hidden="1" customHeight="1">
      <c r="B75" s="99" t="s">
        <v>96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93">
        <f>M75</f>
        <v>0</v>
      </c>
      <c r="M75" s="17"/>
      <c r="N75" s="18"/>
      <c r="O75" s="19"/>
    </row>
    <row r="76" spans="2:15" s="128" customFormat="1" ht="15" hidden="1" customHeight="1">
      <c r="B76" s="170" t="s">
        <v>97</v>
      </c>
      <c r="C76" s="171"/>
      <c r="D76" s="171"/>
      <c r="E76" s="171"/>
      <c r="F76" s="171"/>
      <c r="G76" s="49">
        <f>SUM(H76:K76)</f>
        <v>0</v>
      </c>
      <c r="H76" s="49"/>
      <c r="I76" s="49"/>
      <c r="J76" s="49"/>
      <c r="K76" s="49"/>
      <c r="L76" s="119">
        <f>G76/7296</f>
        <v>0</v>
      </c>
      <c r="M76" s="17">
        <f>G76/7296</f>
        <v>0</v>
      </c>
      <c r="N76" s="149"/>
      <c r="O76" s="134"/>
    </row>
    <row r="77" spans="2:15" ht="36.75" customHeight="1">
      <c r="B77" s="23" t="s">
        <v>98</v>
      </c>
      <c r="C77" s="23"/>
      <c r="D77" s="23"/>
      <c r="E77" s="201"/>
      <c r="F77" s="23" t="s">
        <v>99</v>
      </c>
      <c r="G77" s="202"/>
      <c r="H77" s="20"/>
      <c r="I77" s="51"/>
      <c r="J77" s="20"/>
      <c r="K77" s="20"/>
      <c r="L77" s="203"/>
    </row>
    <row r="78" spans="2:15" ht="24.75" customHeight="1">
      <c r="B78" s="19" t="s">
        <v>100</v>
      </c>
      <c r="C78" s="19"/>
      <c r="D78" s="19"/>
      <c r="E78" s="204"/>
      <c r="F78" s="205" t="str">
        <f>'резерв отпускных (5)'!D20</f>
        <v>А.Р. Саттарова</v>
      </c>
      <c r="G78" s="206"/>
      <c r="H78" s="20"/>
      <c r="I78" s="20"/>
      <c r="J78" s="20"/>
      <c r="K78" s="20"/>
      <c r="L78" s="207" t="e">
        <f>L20-L22-L27-L28-L29-L42-L43-L48-L54-L58</f>
        <v>#DIV/0!</v>
      </c>
    </row>
    <row r="79" spans="2:15" ht="24.75" customHeight="1">
      <c r="B79" s="19"/>
      <c r="C79" s="19"/>
      <c r="D79" s="19"/>
      <c r="E79" s="19"/>
      <c r="F79" s="19"/>
      <c r="G79" s="20"/>
      <c r="H79" s="20"/>
      <c r="I79" s="20"/>
      <c r="J79" s="20"/>
      <c r="K79" s="208"/>
      <c r="L79" s="207"/>
    </row>
    <row r="80" spans="2:15" ht="24.75" hidden="1" customHeight="1">
      <c r="B80" s="19"/>
      <c r="C80" s="19"/>
      <c r="D80" s="19"/>
      <c r="E80" s="19"/>
      <c r="F80" s="19"/>
      <c r="G80" s="20"/>
      <c r="H80" s="20"/>
      <c r="I80" s="20"/>
      <c r="J80" s="20"/>
      <c r="K80" s="208"/>
      <c r="L80" s="207"/>
    </row>
    <row r="81" spans="2:13" ht="18.75" customHeight="1">
      <c r="B81" s="19"/>
      <c r="C81" s="19"/>
      <c r="D81" s="19"/>
      <c r="E81" s="52"/>
      <c r="F81" s="209"/>
      <c r="H81" s="209"/>
      <c r="I81" s="210"/>
      <c r="J81" s="20"/>
      <c r="K81" s="20"/>
    </row>
    <row r="82" spans="2:13" ht="12.75" customHeight="1">
      <c r="I82" s="210"/>
      <c r="J82" s="20"/>
      <c r="K82" s="20"/>
    </row>
    <row r="83" spans="2:13" ht="18.75" customHeight="1">
      <c r="I83" s="210"/>
      <c r="J83" s="20"/>
      <c r="K83" s="20"/>
    </row>
    <row r="84" spans="2:13" ht="12.75" customHeight="1">
      <c r="I84" s="210"/>
      <c r="L84" s="211" t="e">
        <f>L22+L27+L29+L43+L48+L54+L58+L28+L24</f>
        <v>#DIV/0!</v>
      </c>
      <c r="M84" s="212" t="e">
        <f>M22+M27+M29+M43+M48+M54+M58+M28+M24</f>
        <v>#DIV/0!</v>
      </c>
    </row>
    <row r="85" spans="2:13" ht="12.75" customHeight="1">
      <c r="I85" s="210"/>
    </row>
    <row r="86" spans="2:13" ht="12.75" customHeight="1">
      <c r="C86" s="213"/>
      <c r="L86" s="214"/>
    </row>
    <row r="87" spans="2:13" ht="12.75" customHeight="1">
      <c r="I87" s="210"/>
    </row>
    <row r="88" spans="2:13" ht="12.75" customHeight="1">
      <c r="I88" s="210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</sheetData>
  <mergeCells count="6">
    <mergeCell ref="B49:D49"/>
    <mergeCell ref="B2:K2"/>
    <mergeCell ref="P3:S3"/>
    <mergeCell ref="H18:I18"/>
    <mergeCell ref="J18:K18"/>
    <mergeCell ref="N18:N19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dimension ref="A2:IW53"/>
  <sheetViews>
    <sheetView view="pageBreakPreview" zoomScale="80" zoomScaleNormal="100" zoomScalePageLayoutView="80" workbookViewId="0">
      <selection activeCell="C11" sqref="C11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50.85546875" style="15" customWidth="1"/>
    <col min="4" max="4" width="15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9"/>
      <c r="F9" s="19"/>
      <c r="G9" s="19"/>
    </row>
    <row r="10" spans="2:10" ht="15.75">
      <c r="B10" s="284" t="str">
        <f>' (смета) (6)'!D6</f>
        <v>"Логопед"</v>
      </c>
      <c r="C10" s="284"/>
      <c r="D10" s="284"/>
      <c r="E10" s="19"/>
      <c r="F10" s="19"/>
      <c r="G10" s="19"/>
    </row>
    <row r="11" spans="2:10" ht="15.75">
      <c r="B11" s="51"/>
      <c r="C11" s="18" t="str">
        <f>' (смета) (6)'!B7</f>
        <v>По программе:</v>
      </c>
      <c r="D11" s="18"/>
      <c r="E11" s="19"/>
      <c r="F11" s="19"/>
      <c r="G11" s="19"/>
    </row>
    <row r="12" spans="2:10" ht="36" customHeight="1">
      <c r="B12" s="51"/>
      <c r="C12" s="285" t="str">
        <f>' (смета) (6)'!D7</f>
        <v>Развитие фонематического слуха и формирование звукопроизношения (индивидуальное занятие)</v>
      </c>
      <c r="D12" s="285"/>
      <c r="E12" s="19"/>
      <c r="F12" s="19"/>
      <c r="G12" s="19"/>
    </row>
    <row r="13" spans="2:10" ht="15.75">
      <c r="B13" s="3" t="str">
        <f>' (смета) (6)'!B3</f>
        <v xml:space="preserve">                 На  2024-2025 учебный год  (сентябрь -июнь)</v>
      </c>
      <c r="C13" s="3"/>
      <c r="D13" s="3"/>
      <c r="E13" s="3"/>
      <c r="F13" s="19"/>
      <c r="G13" s="19"/>
    </row>
    <row r="14" spans="2:10" ht="24.75" customHeight="1">
      <c r="B14" s="223" t="s">
        <v>124</v>
      </c>
      <c r="C14" s="223" t="s">
        <v>125</v>
      </c>
      <c r="D14" s="223" t="s">
        <v>126</v>
      </c>
      <c r="E14" s="239" t="s">
        <v>127</v>
      </c>
    </row>
    <row r="15" spans="2:10" ht="16.5" customHeight="1">
      <c r="B15" s="240">
        <v>1</v>
      </c>
      <c r="C15" s="241" t="s">
        <v>128</v>
      </c>
      <c r="D15" s="242">
        <f>SUM(D16:D25)</f>
        <v>105600</v>
      </c>
      <c r="E15" s="243">
        <f>SUM(E16:E24)</f>
        <v>0</v>
      </c>
    </row>
    <row r="16" spans="2:10" ht="15.75">
      <c r="B16" s="244" t="s">
        <v>129</v>
      </c>
      <c r="C16" s="245" t="s">
        <v>3</v>
      </c>
      <c r="D16" s="49">
        <f>'резерв отпускных (6)'!D15</f>
        <v>71417.561850238271</v>
      </c>
      <c r="E16" s="246"/>
    </row>
    <row r="17" spans="2:5" ht="15.75">
      <c r="B17" s="244" t="s">
        <v>130</v>
      </c>
      <c r="C17" s="245" t="s">
        <v>131</v>
      </c>
      <c r="D17" s="49">
        <f>'резерв отпускных (6)'!D16</f>
        <v>21568.103678771957</v>
      </c>
      <c r="E17" s="246"/>
    </row>
    <row r="18" spans="2:5" ht="15.75">
      <c r="B18" s="244" t="s">
        <v>132</v>
      </c>
      <c r="C18" s="245" t="s">
        <v>133</v>
      </c>
      <c r="D18" s="49">
        <f>'резерв отпускных (6)'!D14+1</f>
        <v>12614.334470989757</v>
      </c>
      <c r="E18" s="246"/>
    </row>
    <row r="19" spans="2:5" ht="15.75" hidden="1">
      <c r="B19" s="244" t="s">
        <v>134</v>
      </c>
      <c r="C19" s="245"/>
      <c r="D19" s="247"/>
      <c r="E19" s="246"/>
    </row>
    <row r="20" spans="2:5" ht="15.75" hidden="1">
      <c r="B20" s="244" t="s">
        <v>135</v>
      </c>
      <c r="C20" s="245"/>
      <c r="D20" s="247"/>
      <c r="E20" s="246"/>
    </row>
    <row r="21" spans="2:5" ht="15.75" hidden="1">
      <c r="B21" s="244" t="s">
        <v>136</v>
      </c>
      <c r="C21" s="245"/>
      <c r="D21" s="247"/>
      <c r="E21" s="246"/>
    </row>
    <row r="22" spans="2:5" ht="15.75" hidden="1">
      <c r="B22" s="244" t="s">
        <v>137</v>
      </c>
      <c r="C22" s="245"/>
      <c r="D22" s="247"/>
      <c r="E22" s="246"/>
    </row>
    <row r="23" spans="2:5" ht="25.5" hidden="1" customHeight="1">
      <c r="B23" s="244" t="s">
        <v>138</v>
      </c>
      <c r="C23" s="245"/>
      <c r="D23" s="245"/>
      <c r="E23" s="246"/>
    </row>
    <row r="24" spans="2:5" ht="15.75" hidden="1">
      <c r="B24" s="244" t="s">
        <v>139</v>
      </c>
      <c r="C24" s="245"/>
      <c r="D24" s="245"/>
      <c r="E24" s="246"/>
    </row>
    <row r="25" spans="2:5" ht="15.75" hidden="1">
      <c r="B25" s="60"/>
      <c r="C25" s="245"/>
      <c r="D25" s="247"/>
      <c r="E25" s="246"/>
    </row>
    <row r="26" spans="2:5" ht="15.75">
      <c r="B26" s="240">
        <v>2</v>
      </c>
      <c r="C26" s="241" t="s">
        <v>140</v>
      </c>
      <c r="D26" s="248">
        <f>D27+D38+D43+D44+D42+D41+D39+D40</f>
        <v>70400</v>
      </c>
      <c r="E26" s="243">
        <f>E27+E38+E41+E42+E43+E44</f>
        <v>0</v>
      </c>
    </row>
    <row r="27" spans="2:5" ht="31.5" hidden="1">
      <c r="B27" s="244" t="s">
        <v>141</v>
      </c>
      <c r="C27" s="249" t="s">
        <v>142</v>
      </c>
      <c r="D27" s="49">
        <f>D28+D37</f>
        <v>0</v>
      </c>
      <c r="E27" s="246">
        <f>E28+E37</f>
        <v>0</v>
      </c>
    </row>
    <row r="28" spans="2:5" ht="15.75" hidden="1">
      <c r="B28" s="244" t="s">
        <v>143</v>
      </c>
      <c r="C28" s="143" t="s">
        <v>3</v>
      </c>
      <c r="D28" s="49">
        <f>SUM(D29:D36)</f>
        <v>0</v>
      </c>
      <c r="E28" s="246">
        <f>SUM(E29:E36)</f>
        <v>0</v>
      </c>
    </row>
    <row r="29" spans="2:5" ht="15.75" hidden="1">
      <c r="B29" s="244"/>
      <c r="C29" s="143" t="s">
        <v>144</v>
      </c>
      <c r="D29" s="49"/>
      <c r="E29" s="246"/>
    </row>
    <row r="30" spans="2:5" ht="15.75" hidden="1">
      <c r="B30" s="244"/>
      <c r="C30" s="143" t="s">
        <v>145</v>
      </c>
      <c r="D30" s="247"/>
      <c r="E30" s="246"/>
    </row>
    <row r="31" spans="2:5" ht="15.75" hidden="1">
      <c r="B31" s="244"/>
      <c r="C31" s="143" t="s">
        <v>146</v>
      </c>
      <c r="D31" s="247"/>
      <c r="E31" s="246"/>
    </row>
    <row r="32" spans="2:5" ht="15.75" hidden="1">
      <c r="B32" s="244"/>
      <c r="C32" s="143" t="s">
        <v>147</v>
      </c>
      <c r="D32" s="247"/>
      <c r="E32" s="246"/>
    </row>
    <row r="33" spans="2:5" ht="15.75" hidden="1">
      <c r="B33" s="244"/>
      <c r="C33" s="143" t="s">
        <v>148</v>
      </c>
      <c r="D33" s="49">
        <f>+' (смета)'!G56/1.271</f>
        <v>0</v>
      </c>
      <c r="E33" s="246"/>
    </row>
    <row r="34" spans="2:5" ht="15.75" hidden="1">
      <c r="B34" s="244"/>
      <c r="C34" s="143" t="s">
        <v>149</v>
      </c>
      <c r="D34" s="247"/>
      <c r="E34" s="246"/>
    </row>
    <row r="35" spans="2:5" ht="15.75" hidden="1">
      <c r="B35" s="244"/>
      <c r="C35" s="143" t="s">
        <v>150</v>
      </c>
      <c r="D35" s="247"/>
      <c r="E35" s="246"/>
    </row>
    <row r="36" spans="2:5" ht="15.75" hidden="1">
      <c r="B36" s="244"/>
      <c r="C36" s="143" t="s">
        <v>151</v>
      </c>
      <c r="D36" s="247"/>
      <c r="E36" s="246"/>
    </row>
    <row r="37" spans="2:5" ht="15.75" hidden="1">
      <c r="B37" s="244" t="s">
        <v>152</v>
      </c>
      <c r="C37" s="143" t="s">
        <v>131</v>
      </c>
      <c r="D37" s="49">
        <f>D28*27.1%</f>
        <v>0</v>
      </c>
      <c r="E37" s="246">
        <f>E28*26.2%</f>
        <v>0</v>
      </c>
    </row>
    <row r="38" spans="2:5" ht="15.75">
      <c r="B38" s="244" t="s">
        <v>153</v>
      </c>
      <c r="C38" s="245" t="s">
        <v>154</v>
      </c>
      <c r="D38" s="49">
        <f>' (смета) (6)'!G29</f>
        <v>17600</v>
      </c>
      <c r="E38" s="246"/>
    </row>
    <row r="39" spans="2:5" ht="31.5" customHeight="1">
      <c r="B39" s="250" t="s">
        <v>155</v>
      </c>
      <c r="C39" s="251" t="s">
        <v>156</v>
      </c>
      <c r="D39" s="49">
        <f>' (смета) (6)'!G49</f>
        <v>8800</v>
      </c>
      <c r="E39" s="246"/>
    </row>
    <row r="40" spans="2:5" ht="16.5" customHeight="1">
      <c r="B40" s="250" t="s">
        <v>157</v>
      </c>
      <c r="C40" s="251" t="s">
        <v>158</v>
      </c>
      <c r="D40" s="49">
        <f>' (смета) (6)'!G50</f>
        <v>2288</v>
      </c>
      <c r="E40" s="246"/>
    </row>
    <row r="41" spans="2:5" ht="15.75">
      <c r="B41" s="244" t="s">
        <v>159</v>
      </c>
      <c r="C41" s="245" t="s">
        <v>160</v>
      </c>
      <c r="D41" s="49">
        <f>' (смета) (6)'!G71</f>
        <v>0</v>
      </c>
      <c r="E41" s="246"/>
    </row>
    <row r="42" spans="2:5" ht="15.75">
      <c r="B42" s="244" t="s">
        <v>161</v>
      </c>
      <c r="C42" s="99" t="s">
        <v>162</v>
      </c>
      <c r="D42" s="252">
        <f>+' (смета) (6)'!G72</f>
        <v>0</v>
      </c>
      <c r="E42" s="93"/>
    </row>
    <row r="43" spans="2:5" ht="15.75">
      <c r="B43" s="244" t="s">
        <v>163</v>
      </c>
      <c r="C43" s="245" t="s">
        <v>164</v>
      </c>
      <c r="D43" s="247">
        <f>' (смета) (6)'!G60</f>
        <v>41712</v>
      </c>
      <c r="E43" s="246"/>
    </row>
    <row r="44" spans="2:5" ht="15.75">
      <c r="B44" s="244" t="s">
        <v>165</v>
      </c>
      <c r="C44" s="249" t="s">
        <v>166</v>
      </c>
      <c r="D44" s="247">
        <f>' (смета) (6)'!G73</f>
        <v>0</v>
      </c>
      <c r="E44" s="246"/>
    </row>
    <row r="45" spans="2:5" ht="18.75" customHeight="1">
      <c r="B45" s="240">
        <v>3</v>
      </c>
      <c r="C45" s="241" t="s">
        <v>167</v>
      </c>
      <c r="D45" s="248">
        <f>D15+D26</f>
        <v>176000</v>
      </c>
      <c r="E45" s="243">
        <f>E15+E26</f>
        <v>0</v>
      </c>
    </row>
    <row r="46" spans="2:5" ht="15.75">
      <c r="B46" s="60"/>
      <c r="C46" s="245"/>
      <c r="D46" s="247"/>
      <c r="E46" s="246"/>
    </row>
    <row r="47" spans="2:5" ht="15.75">
      <c r="B47" s="60">
        <v>4</v>
      </c>
      <c r="C47" s="245" t="s">
        <v>168</v>
      </c>
      <c r="D47" s="49">
        <f>' (смета) (6)'!E8</f>
        <v>4</v>
      </c>
      <c r="E47" s="246"/>
    </row>
    <row r="48" spans="2:5" ht="15.75">
      <c r="B48" s="60">
        <v>5</v>
      </c>
      <c r="C48" s="245" t="s">
        <v>169</v>
      </c>
      <c r="D48" s="49">
        <f>' (смета) (6)'!E13</f>
        <v>80</v>
      </c>
      <c r="E48" s="246"/>
    </row>
    <row r="49" spans="2:8" ht="15.75">
      <c r="B49" s="240">
        <v>6</v>
      </c>
      <c r="C49" s="241" t="s">
        <v>170</v>
      </c>
      <c r="D49" s="248">
        <f>D45/D47/D48</f>
        <v>550</v>
      </c>
      <c r="E49" s="243"/>
    </row>
    <row r="50" spans="2:8" ht="15.75">
      <c r="B50" s="19"/>
      <c r="C50" s="19"/>
      <c r="D50" s="19"/>
    </row>
    <row r="51" spans="2:8" ht="15.75">
      <c r="B51" s="19" t="s">
        <v>171</v>
      </c>
      <c r="C51" s="20" t="str">
        <f>' (смета) (6)'!F78</f>
        <v>А.Р. Саттарова</v>
      </c>
      <c r="D51" s="19"/>
      <c r="E51" s="204"/>
      <c r="F51" s="52"/>
      <c r="G51" s="2"/>
      <c r="H51" s="2"/>
    </row>
    <row r="52" spans="2:8" ht="15.75">
      <c r="B52" s="19"/>
      <c r="C52" s="19"/>
      <c r="D52" s="19"/>
      <c r="E52" s="19"/>
      <c r="F52" s="19"/>
      <c r="G52" s="20"/>
      <c r="H52" s="20"/>
    </row>
    <row r="53" spans="2:8" ht="15.75">
      <c r="B53" s="19"/>
      <c r="C53" s="19"/>
      <c r="D53" s="19"/>
      <c r="E53" s="204"/>
      <c r="F53" s="52"/>
      <c r="G53" s="8"/>
      <c r="H53" s="8"/>
    </row>
  </sheetData>
  <mergeCells count="8">
    <mergeCell ref="B13:E13"/>
    <mergeCell ref="G51:H51"/>
    <mergeCell ref="G53:H53"/>
    <mergeCell ref="D3:G3"/>
    <mergeCell ref="B8:D8"/>
    <mergeCell ref="B9:D9"/>
    <mergeCell ref="B10:D10"/>
    <mergeCell ref="C12:D12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W21"/>
  <sheetViews>
    <sheetView view="pageBreakPreview" zoomScale="80" zoomScaleNormal="100" zoomScalePageLayoutView="80" workbookViewId="0">
      <selection activeCell="D15" sqref="D15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22.28515625" style="19" customWidth="1"/>
    <col min="6" max="7" width="9.140625" style="19"/>
    <col min="8" max="8" width="9.42578125" style="19" customWidth="1"/>
    <col min="9" max="257" width="9.140625" style="19"/>
  </cols>
  <sheetData>
    <row r="2" spans="2:7">
      <c r="B2" s="8" t="str">
        <f>' (смета) (6)'!C4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 (6)'!C5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'калькуляция (6)'!B13</f>
        <v xml:space="preserve">                 На  2024-2025 учебный год  (сентябрь -июнь)</v>
      </c>
      <c r="D6" s="216"/>
      <c r="E6" s="216"/>
    </row>
    <row r="7" spans="2:7" ht="15.75" customHeight="1">
      <c r="B7" s="273"/>
      <c r="C7" s="273" t="str">
        <f>' (смета) (6)'!D6</f>
        <v>"Логопед"</v>
      </c>
      <c r="D7" s="273"/>
      <c r="E7" s="215"/>
    </row>
    <row r="8" spans="2:7" s="32" customFormat="1">
      <c r="B8" s="274"/>
      <c r="C8" s="274" t="str">
        <f>' (смета) (6)'!B7</f>
        <v>По программе:</v>
      </c>
      <c r="D8" s="274"/>
      <c r="E8" s="221"/>
    </row>
    <row r="9" spans="2:7" s="32" customFormat="1" ht="47.25">
      <c r="B9" s="274"/>
      <c r="C9" s="274" t="str">
        <f>' (смета) (6)'!D7</f>
        <v>Развитие фонематического слуха и формирование звукопроизношения (индивидуальное занятие)</v>
      </c>
      <c r="D9" s="274"/>
      <c r="E9" s="221"/>
    </row>
    <row r="10" spans="2:7" ht="33" customHeight="1">
      <c r="B10" s="222" t="s">
        <v>104</v>
      </c>
      <c r="C10" s="223" t="s">
        <v>105</v>
      </c>
      <c r="D10" s="223" t="s">
        <v>106</v>
      </c>
      <c r="E10" s="224"/>
      <c r="F10" s="18" t="s">
        <v>107</v>
      </c>
      <c r="G10" s="18" t="s">
        <v>108</v>
      </c>
    </row>
    <row r="11" spans="2:7" ht="23.25" customHeight="1">
      <c r="B11" s="223">
        <v>1</v>
      </c>
      <c r="C11" s="225" t="s">
        <v>109</v>
      </c>
      <c r="D11" s="226">
        <f>(' (смета) (6)'!G23/9)/29.3*F11</f>
        <v>9688.4289331718574</v>
      </c>
      <c r="E11" s="227"/>
      <c r="F11" s="228">
        <f>42/12*9</f>
        <v>31.5</v>
      </c>
      <c r="G11" s="228">
        <f>F11/9</f>
        <v>3.5</v>
      </c>
    </row>
    <row r="12" spans="2:7" ht="33" customHeight="1">
      <c r="B12" s="223">
        <v>2</v>
      </c>
      <c r="C12" s="229" t="s">
        <v>110</v>
      </c>
      <c r="D12" s="230">
        <f>D11*30.2%-1</f>
        <v>2924.9055378179009</v>
      </c>
      <c r="E12" s="231"/>
    </row>
    <row r="13" spans="2:7" ht="33" hidden="1" customHeight="1">
      <c r="B13" s="223">
        <v>3</v>
      </c>
      <c r="C13" s="229" t="s">
        <v>111</v>
      </c>
      <c r="D13" s="230"/>
      <c r="E13" s="231"/>
    </row>
    <row r="14" spans="2:7" ht="54" customHeight="1">
      <c r="B14" s="223">
        <v>3</v>
      </c>
      <c r="C14" s="229" t="s">
        <v>112</v>
      </c>
      <c r="D14" s="230">
        <f>D11+D12-D13</f>
        <v>12613.334470989757</v>
      </c>
      <c r="E14" s="231"/>
    </row>
    <row r="15" spans="2:7" ht="33" customHeight="1">
      <c r="B15" s="223">
        <v>4</v>
      </c>
      <c r="C15" s="229" t="s">
        <v>113</v>
      </c>
      <c r="D15" s="232">
        <f>' (смета) (6)'!G23-D11</f>
        <v>71417.561850238271</v>
      </c>
      <c r="E15" s="227"/>
    </row>
    <row r="16" spans="2:7" ht="33" customHeight="1">
      <c r="B16" s="223">
        <v>5</v>
      </c>
      <c r="C16" s="229" t="s">
        <v>114</v>
      </c>
      <c r="D16" s="230">
        <f>D15*30.2%</f>
        <v>21568.103678771957</v>
      </c>
      <c r="E16" s="231"/>
    </row>
    <row r="17" spans="2:5" ht="33" customHeight="1">
      <c r="B17" s="223">
        <v>6</v>
      </c>
      <c r="C17" s="229" t="s">
        <v>115</v>
      </c>
      <c r="D17" s="230">
        <f>D15+D16</f>
        <v>92985.665529010235</v>
      </c>
      <c r="E17" s="231"/>
    </row>
    <row r="18" spans="2:5" ht="33" customHeight="1">
      <c r="B18" s="223">
        <v>7</v>
      </c>
      <c r="C18" s="229" t="s">
        <v>116</v>
      </c>
      <c r="D18" s="233">
        <f>D14/D17</f>
        <v>0.13564816038289873</v>
      </c>
      <c r="E18" s="234"/>
    </row>
    <row r="19" spans="2:5" ht="49.5" customHeight="1">
      <c r="B19" s="223">
        <v>8</v>
      </c>
      <c r="C19" s="229" t="s">
        <v>117</v>
      </c>
      <c r="D19" s="235" t="s">
        <v>118</v>
      </c>
      <c r="E19" s="236"/>
    </row>
    <row r="21" spans="2:5">
      <c r="B21" s="19" t="s">
        <v>193</v>
      </c>
      <c r="D21" s="20" t="str">
        <f>'калькуляция (6)'!C51</f>
        <v>А.Р. Саттарова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scale="85" orientation="portrait" horizontalDpi="300" verticalDpi="300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4"/>
  <sheetViews>
    <sheetView view="pageBreakPreview" zoomScale="80" zoomScaleNormal="80" zoomScalePageLayoutView="80" workbookViewId="0">
      <selection activeCell="AF26" sqref="AF26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 hidden="1"/>
    <col min="16" max="16" width="11.85546875" style="15" hidden="1" customWidth="1"/>
    <col min="17" max="17" width="10.85546875" style="15" hidden="1" customWidth="1"/>
    <col min="18" max="18" width="10.7109375" style="15" hidden="1" customWidth="1"/>
    <col min="19" max="19" width="12.28515625" style="15" hidden="1" customWidth="1"/>
    <col min="20" max="20" width="17.42578125" style="15" hidden="1" customWidth="1"/>
    <col min="21" max="25" width="9.140625" style="15" hidden="1"/>
    <col min="26" max="257" width="9.140625" style="15"/>
  </cols>
  <sheetData>
    <row r="1" spans="1:29" s="19" customFormat="1" ht="12.75" customHeight="1">
      <c r="G1" s="20"/>
      <c r="H1" s="20"/>
      <c r="I1" s="20"/>
      <c r="J1" s="20"/>
      <c r="K1" s="20"/>
      <c r="M1" s="17"/>
      <c r="N1" s="18"/>
    </row>
    <row r="2" spans="1:29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1:29" s="21" customFormat="1" ht="19.5" customHeight="1">
      <c r="B3" s="14" t="s">
        <v>194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1:29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G20</f>
        <v>1500800</v>
      </c>
      <c r="Q4" s="29">
        <f>H20+I20+J20+K20</f>
        <v>1500800</v>
      </c>
      <c r="R4" s="29">
        <f>G21+G26+G58</f>
        <v>1500800</v>
      </c>
      <c r="S4" s="30">
        <f>'калькуляция (6)'!D45</f>
        <v>176000</v>
      </c>
      <c r="T4" s="31">
        <f>'резерв отпускных (6)'!D11+'резерв отпускных (6)'!D12+'резерв отпускных (6)'!D15+'резерв отпускных (6)'!D16</f>
        <v>105599</v>
      </c>
    </row>
    <row r="5" spans="1:29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1:29" s="32" customFormat="1" ht="18" customHeight="1">
      <c r="B6" s="33" t="s">
        <v>7</v>
      </c>
      <c r="C6" s="34"/>
      <c r="D6" s="34"/>
      <c r="E6" s="34"/>
      <c r="F6" s="34"/>
      <c r="G6" s="34"/>
      <c r="H6" s="34"/>
      <c r="I6" s="34"/>
      <c r="J6" s="34"/>
      <c r="K6" s="34"/>
      <c r="M6" s="35"/>
      <c r="N6" s="36"/>
      <c r="P6" s="37">
        <f>E16-P4</f>
        <v>-1500800</v>
      </c>
      <c r="Q6" s="37">
        <f>E16-Q4</f>
        <v>-1500800</v>
      </c>
      <c r="R6" s="37">
        <f>E16-R4</f>
        <v>-1500800</v>
      </c>
      <c r="S6" s="37">
        <f>E16-S4</f>
        <v>-176000</v>
      </c>
      <c r="T6" s="37">
        <f>G21-T4</f>
        <v>794881</v>
      </c>
    </row>
    <row r="7" spans="1:29" s="19" customFormat="1" ht="18" customHeight="1">
      <c r="B7" s="38" t="s">
        <v>9</v>
      </c>
      <c r="C7" s="263"/>
      <c r="D7" s="263"/>
      <c r="F7" s="19" t="s">
        <v>195</v>
      </c>
      <c r="G7" s="41"/>
      <c r="H7" s="20"/>
      <c r="I7" s="20"/>
      <c r="J7" s="20"/>
      <c r="K7" s="20"/>
      <c r="M7" s="17"/>
      <c r="N7" s="18"/>
    </row>
    <row r="8" spans="1:29" s="19" customFormat="1" ht="27" customHeight="1">
      <c r="B8" s="19" t="s">
        <v>11</v>
      </c>
      <c r="E8" s="42"/>
      <c r="F8" s="43"/>
      <c r="G8" s="20"/>
      <c r="H8" s="20"/>
      <c r="I8" s="20"/>
      <c r="J8" s="20"/>
      <c r="K8" s="20"/>
      <c r="M8" s="17"/>
      <c r="N8" s="18"/>
      <c r="O8" s="209" t="s">
        <v>192</v>
      </c>
    </row>
    <row r="9" spans="1:29" s="19" customFormat="1" ht="18" customHeight="1">
      <c r="B9" s="19" t="s">
        <v>184</v>
      </c>
      <c r="E9" s="42"/>
      <c r="F9" s="43"/>
      <c r="G9" s="20"/>
      <c r="H9" s="20"/>
      <c r="I9" s="20"/>
      <c r="J9" s="20"/>
      <c r="K9" s="20"/>
      <c r="M9" s="17"/>
      <c r="N9" s="44"/>
      <c r="O9" s="45"/>
      <c r="AC9" s="19" t="s">
        <v>19</v>
      </c>
    </row>
    <row r="10" spans="1:29" s="19" customFormat="1" ht="18" customHeight="1">
      <c r="B10" s="19" t="s">
        <v>14</v>
      </c>
      <c r="E10" s="42"/>
      <c r="F10" s="43"/>
      <c r="G10" s="46"/>
      <c r="H10" s="20"/>
      <c r="I10" s="20"/>
      <c r="J10" s="20"/>
      <c r="K10" s="20"/>
      <c r="M10" s="17"/>
      <c r="N10" s="18"/>
    </row>
    <row r="11" spans="1:29" s="19" customFormat="1" ht="18" customHeight="1">
      <c r="B11" s="19" t="s">
        <v>15</v>
      </c>
      <c r="E11" s="47"/>
      <c r="F11" s="43"/>
      <c r="G11" s="20"/>
      <c r="H11" s="20"/>
      <c r="I11" s="20"/>
      <c r="J11" s="20"/>
      <c r="K11" s="20"/>
      <c r="M11" s="17"/>
      <c r="N11" s="18"/>
    </row>
    <row r="12" spans="1:29" s="19" customFormat="1" ht="18" customHeight="1">
      <c r="B12" s="275" t="s">
        <v>177</v>
      </c>
      <c r="C12" s="275"/>
      <c r="D12" s="275"/>
      <c r="E12" s="276">
        <f>' (смета) (6)'!E12+' (смета) (5)'!E12+' (смета) (4)'!E12+' (смета) (3)'!E13+' (смета) (2)'!E13+' (смета)'!E15</f>
        <v>12992</v>
      </c>
      <c r="F12" s="43"/>
      <c r="G12" s="20"/>
      <c r="H12" s="20"/>
      <c r="I12" s="20"/>
      <c r="J12" s="20"/>
      <c r="K12" s="20"/>
      <c r="M12" s="17"/>
      <c r="N12" s="18"/>
    </row>
    <row r="13" spans="1:29" s="19" customFormat="1" ht="18" customHeight="1">
      <c r="B13" s="19" t="s">
        <v>17</v>
      </c>
      <c r="E13" s="42"/>
      <c r="G13" s="49">
        <f>H13+I13+J13+K13</f>
        <v>36</v>
      </c>
      <c r="H13" s="49">
        <v>4</v>
      </c>
      <c r="I13" s="49">
        <v>12</v>
      </c>
      <c r="J13" s="49">
        <v>12</v>
      </c>
      <c r="K13" s="49">
        <v>8</v>
      </c>
      <c r="M13" s="17"/>
      <c r="N13" s="18"/>
    </row>
    <row r="14" spans="1:29" s="19" customFormat="1" ht="18" customHeight="1">
      <c r="B14" s="19" t="s">
        <v>20</v>
      </c>
      <c r="E14" s="42"/>
      <c r="F14" s="43"/>
      <c r="G14" s="51"/>
      <c r="H14" s="51"/>
      <c r="I14" s="51"/>
      <c r="J14" s="51"/>
      <c r="K14" s="51"/>
      <c r="M14" s="17"/>
      <c r="N14" s="18"/>
    </row>
    <row r="15" spans="1:29" s="19" customFormat="1" ht="21" customHeight="1">
      <c r="B15" s="19" t="s">
        <v>21</v>
      </c>
      <c r="E15" s="42"/>
      <c r="F15" s="19" t="s">
        <v>19</v>
      </c>
      <c r="G15" s="51"/>
      <c r="H15" s="51"/>
      <c r="I15" s="51"/>
      <c r="J15" s="51"/>
      <c r="K15" s="51"/>
      <c r="M15" s="17"/>
      <c r="N15" s="18"/>
    </row>
    <row r="16" spans="1:29" s="19" customFormat="1" ht="18" customHeight="1">
      <c r="A16" s="52"/>
      <c r="B16" s="52" t="s">
        <v>22</v>
      </c>
      <c r="C16" s="53"/>
      <c r="D16" s="53"/>
      <c r="E16" s="54"/>
      <c r="F16" s="53"/>
      <c r="G16" s="51"/>
      <c r="H16" s="51"/>
      <c r="I16" s="51"/>
      <c r="J16" s="51"/>
      <c r="K16" s="51"/>
      <c r="L16" s="19" t="s">
        <v>23</v>
      </c>
      <c r="M16" s="17"/>
      <c r="N16" s="18"/>
    </row>
    <row r="17" spans="1:24" s="19" customFormat="1" ht="18" customHeight="1">
      <c r="A17" s="52"/>
      <c r="B17" s="52"/>
      <c r="C17" s="53"/>
      <c r="D17" s="53"/>
      <c r="E17" s="55"/>
      <c r="F17" s="53"/>
      <c r="G17" s="51"/>
      <c r="H17" s="51"/>
      <c r="I17" s="51"/>
      <c r="J17" s="51"/>
      <c r="K17" s="51"/>
      <c r="M17" s="17"/>
      <c r="N17" s="18"/>
    </row>
    <row r="18" spans="1:24" s="19" customFormat="1" ht="18" customHeight="1">
      <c r="A18" s="52"/>
      <c r="B18" s="56" t="s">
        <v>24</v>
      </c>
      <c r="C18" s="57"/>
      <c r="D18" s="57"/>
      <c r="E18" s="57"/>
      <c r="F18" s="57"/>
      <c r="G18" s="58"/>
      <c r="H18" s="12">
        <v>2023</v>
      </c>
      <c r="I18" s="12"/>
      <c r="J18" s="11">
        <v>2024</v>
      </c>
      <c r="K18" s="11"/>
      <c r="L18" s="61" t="s">
        <v>25</v>
      </c>
      <c r="M18" s="17"/>
      <c r="N18" s="10" t="s">
        <v>26</v>
      </c>
      <c r="P18" s="62"/>
      <c r="Q18" s="63"/>
      <c r="R18" s="64"/>
      <c r="S18" s="64"/>
      <c r="T18" s="63"/>
      <c r="U18" s="63"/>
      <c r="V18" s="63"/>
      <c r="W18" s="63"/>
    </row>
    <row r="19" spans="1:24" s="19" customFormat="1" ht="18" customHeight="1">
      <c r="A19" s="52"/>
      <c r="B19" s="65"/>
      <c r="C19" s="66" t="s">
        <v>27</v>
      </c>
      <c r="D19" s="52"/>
      <c r="E19" s="52"/>
      <c r="F19" s="52"/>
      <c r="G19" s="67"/>
      <c r="H19" s="49" t="s">
        <v>28</v>
      </c>
      <c r="I19" s="49" t="s">
        <v>29</v>
      </c>
      <c r="J19" s="49" t="s">
        <v>30</v>
      </c>
      <c r="K19" s="49" t="s">
        <v>31</v>
      </c>
      <c r="L19" s="68" t="s">
        <v>32</v>
      </c>
      <c r="M19" s="17"/>
      <c r="N19" s="10"/>
    </row>
    <row r="20" spans="1:24" s="63" customFormat="1" ht="30" customHeight="1">
      <c r="B20" s="69"/>
      <c r="C20" s="70"/>
      <c r="D20" s="70"/>
      <c r="E20" s="70"/>
      <c r="F20" s="70"/>
      <c r="G20" s="71">
        <f>' (смета)'!G24+' (смета) (2)'!G21+' (смета) (3)'!G22+' (смета) (4)'!G20+' (смета) (5)'!G20+' (смета) (6)'!G20</f>
        <v>1500800</v>
      </c>
      <c r="H20" s="72">
        <f>' (смета)'!H24+' (смета) (2)'!H21+' (смета) (3)'!H22+' (смета) (4)'!H20+' (смета) (5)'!H20+' (смета) (6)'!H20</f>
        <v>164800</v>
      </c>
      <c r="I20" s="72">
        <f>' (смета)'!I24+' (смета) (2)'!I21+' (смета) (3)'!I22+' (смета) (4)'!I20+' (смета) (5)'!I20+' (смета) (6)'!I20</f>
        <v>494400</v>
      </c>
      <c r="J20" s="72">
        <f>' (смета)'!J24+' (смета) (2)'!J21+' (смета) (3)'!J22+' (смета) (4)'!J20+' (смета) (5)'!J20+' (смета) (6)'!J20</f>
        <v>494400</v>
      </c>
      <c r="K20" s="72">
        <f>' (смета)'!K24+' (смета) (2)'!K21+' (смета) (3)'!K22+' (смета) (4)'!K20+' (смета) (5)'!K20+' (смета) (6)'!K20</f>
        <v>347200</v>
      </c>
      <c r="L20" s="73">
        <f>E14</f>
        <v>0</v>
      </c>
      <c r="M20" s="74" t="e">
        <f>G20/N9</f>
        <v>#DIV/0!</v>
      </c>
      <c r="N20" s="75">
        <f>G20/G20</f>
        <v>1</v>
      </c>
      <c r="O20" s="32"/>
      <c r="P20" s="19"/>
      <c r="Q20" s="19"/>
      <c r="R20" s="19"/>
      <c r="S20" s="19"/>
      <c r="T20" s="19"/>
      <c r="U20" s="19"/>
      <c r="V20" s="19"/>
      <c r="W20" s="19"/>
    </row>
    <row r="21" spans="1:24" s="19" customFormat="1" ht="24.95" customHeight="1">
      <c r="B21" s="78" t="s">
        <v>33</v>
      </c>
      <c r="C21" s="79"/>
      <c r="D21" s="79"/>
      <c r="E21" s="79"/>
      <c r="F21" s="79"/>
      <c r="G21" s="71">
        <f>' (смета)'!G25+' (смета) (2)'!G22+' (смета) (3)'!G23+' (смета) (4)'!G21+' (смета) (5)'!G21+' (смета) (6)'!G21</f>
        <v>900480</v>
      </c>
      <c r="H21" s="80">
        <f>H20*0.6</f>
        <v>98880</v>
      </c>
      <c r="I21" s="80">
        <f>I20*0.6</f>
        <v>296640</v>
      </c>
      <c r="J21" s="80">
        <f>J20*0.6</f>
        <v>296640</v>
      </c>
      <c r="K21" s="80">
        <f>K20*0.6</f>
        <v>208320</v>
      </c>
      <c r="L21" s="81"/>
      <c r="M21" s="74">
        <f>G21/8208</f>
        <v>109.70760233918129</v>
      </c>
      <c r="N21" s="82">
        <f>G21/G20</f>
        <v>0.6</v>
      </c>
      <c r="O21" s="83"/>
      <c r="X21" s="84"/>
    </row>
    <row r="22" spans="1:24" s="19" customFormat="1" ht="17.25" customHeight="1">
      <c r="B22" s="85"/>
      <c r="C22" s="86"/>
      <c r="D22" s="86"/>
      <c r="E22" s="86"/>
      <c r="F22" s="87"/>
      <c r="G22" s="71">
        <f>' (смета)'!G26+' (смета) (2)'!G23+' (смета) (3)'!G24+' (смета) (4)'!G22+' (смета) (5)'!G22+' (смета) (6)'!G22</f>
        <v>0</v>
      </c>
      <c r="H22" s="58">
        <v>0</v>
      </c>
      <c r="I22" s="58"/>
      <c r="J22" s="58"/>
      <c r="K22" s="58"/>
      <c r="L22" s="88" t="e">
        <f>M22</f>
        <v>#DIV/0!</v>
      </c>
      <c r="M22" s="74" t="e">
        <f>G22/N9</f>
        <v>#DIV/0!</v>
      </c>
      <c r="N22" s="82"/>
      <c r="P22" s="89" t="s">
        <v>34</v>
      </c>
      <c r="Q22" s="90"/>
      <c r="R22" s="90"/>
      <c r="S22" s="90"/>
      <c r="T22" s="91"/>
      <c r="U22" s="52"/>
      <c r="V22" s="52"/>
    </row>
    <row r="23" spans="1:24" s="19" customFormat="1" ht="17.25" customHeight="1">
      <c r="A23" s="19" t="s">
        <v>35</v>
      </c>
      <c r="B23" s="92" t="s">
        <v>36</v>
      </c>
      <c r="C23" s="93"/>
      <c r="D23" s="93"/>
      <c r="E23" s="93"/>
      <c r="F23" s="93"/>
      <c r="G23" s="71">
        <f>' (смета)'!G27+' (смета) (2)'!G24+' (смета) (3)'!G25+' (смета) (4)'!G23+' (смета) (5)'!G23+' (смета) (6)'!G23</f>
        <v>691612.90322580654</v>
      </c>
      <c r="H23" s="49">
        <f>H21/1.302</f>
        <v>75944.700460829496</v>
      </c>
      <c r="I23" s="49">
        <f>I21/1.302</f>
        <v>227834.10138248847</v>
      </c>
      <c r="J23" s="49">
        <f>J21/1.302</f>
        <v>227834.10138248847</v>
      </c>
      <c r="K23" s="49">
        <f>K21/1.302</f>
        <v>160000</v>
      </c>
      <c r="L23" s="94" t="e">
        <f>M23</f>
        <v>#DIV/0!</v>
      </c>
      <c r="M23" s="74" t="e">
        <f>G23/N9</f>
        <v>#DIV/0!</v>
      </c>
      <c r="N23" s="82"/>
      <c r="P23" s="95" t="s">
        <v>37</v>
      </c>
      <c r="Q23" s="96">
        <f>E14*0.546/1.302/1.1357/1.3</f>
        <v>0</v>
      </c>
      <c r="R23" s="97" t="s">
        <v>38</v>
      </c>
      <c r="S23" s="97"/>
      <c r="T23" s="98" t="s">
        <v>39</v>
      </c>
      <c r="U23" s="97"/>
      <c r="V23" s="97"/>
      <c r="X23" s="84"/>
    </row>
    <row r="24" spans="1:24" s="19" customFormat="1" ht="17.25" hidden="1" customHeight="1">
      <c r="A24" s="32" t="s">
        <v>40</v>
      </c>
      <c r="B24" s="99" t="s">
        <v>41</v>
      </c>
      <c r="C24" s="99"/>
      <c r="D24" s="93"/>
      <c r="E24" s="93"/>
      <c r="F24" s="93"/>
      <c r="G24" s="71">
        <f>' (смета)'!G28+' (смета) (2)'!G25+' (смета) (3)'!G26+' (смета) (4)'!G24+' (смета) (5)'!G24+' (смета) (6)'!G24</f>
        <v>0</v>
      </c>
      <c r="H24" s="49"/>
      <c r="I24" s="49"/>
      <c r="J24" s="49"/>
      <c r="K24" s="49"/>
      <c r="L24" s="100"/>
      <c r="M24" s="74">
        <f>G24/5760</f>
        <v>0</v>
      </c>
      <c r="N24" s="82"/>
      <c r="P24" s="101"/>
      <c r="Q24" s="52"/>
      <c r="R24" s="52"/>
      <c r="S24" s="52"/>
      <c r="T24" s="102"/>
      <c r="U24" s="52"/>
      <c r="V24" s="52"/>
    </row>
    <row r="25" spans="1:24" s="19" customFormat="1" ht="17.25" customHeight="1">
      <c r="A25" s="32" t="s">
        <v>40</v>
      </c>
      <c r="B25" s="103" t="s">
        <v>42</v>
      </c>
      <c r="C25" s="104"/>
      <c r="D25" s="105"/>
      <c r="E25" s="105"/>
      <c r="F25" s="105"/>
      <c r="G25" s="71">
        <f>' (смета)'!G29+' (смета) (2)'!G26+' (смета) (3)'!G27+' (смета) (4)'!G25+' (смета) (5)'!G25+' (смета) (6)'!G25</f>
        <v>208867.09677419355</v>
      </c>
      <c r="H25" s="49">
        <f>H21-H23</f>
        <v>22935.299539170504</v>
      </c>
      <c r="I25" s="49">
        <f>I21-I23</f>
        <v>68805.898617511528</v>
      </c>
      <c r="J25" s="49">
        <f>J21-J23</f>
        <v>68805.898617511528</v>
      </c>
      <c r="K25" s="49">
        <f>K21-K23</f>
        <v>48320</v>
      </c>
      <c r="L25" s="106" t="e">
        <f>M25</f>
        <v>#DIV/0!</v>
      </c>
      <c r="M25" s="74" t="e">
        <f t="shared" ref="M25:M33" si="0">G25/$N$9</f>
        <v>#DIV/0!</v>
      </c>
      <c r="N25" s="82"/>
      <c r="P25" s="107" t="s">
        <v>43</v>
      </c>
      <c r="Q25" s="108">
        <f>E14*0.054/1.302/1.1357/1.3</f>
        <v>0</v>
      </c>
      <c r="R25" s="109" t="s">
        <v>38</v>
      </c>
      <c r="S25" s="109"/>
      <c r="T25" s="110" t="s">
        <v>44</v>
      </c>
      <c r="U25" s="52"/>
      <c r="V25" s="52"/>
    </row>
    <row r="26" spans="1:24" s="19" customFormat="1" ht="24.95" customHeight="1">
      <c r="B26" s="111" t="s">
        <v>45</v>
      </c>
      <c r="C26" s="112"/>
      <c r="D26" s="112"/>
      <c r="E26" s="112"/>
      <c r="F26" s="112"/>
      <c r="G26" s="71">
        <f>' (смета)'!G30+' (смета) (2)'!G27+' (смета) (3)'!G28+' (смета) (4)'!G26+' (смета) (5)'!G26+' (смета) (6)'!G26</f>
        <v>244630.40000000002</v>
      </c>
      <c r="H26" s="80">
        <f>H27+H28+H29+H42+H43+H48</f>
        <v>26862.400000000001</v>
      </c>
      <c r="I26" s="80">
        <f>I27+I28+I29+I42+I43+I48</f>
        <v>80587.199999999997</v>
      </c>
      <c r="J26" s="80">
        <f>J27+J28+J29+J42+J43+J48</f>
        <v>80587.199999999997</v>
      </c>
      <c r="K26" s="80">
        <f>K27+K28+K29+K42+K43+K48</f>
        <v>56593.599999999999</v>
      </c>
      <c r="L26" s="114" t="e">
        <f>L27+L28+L29+L42+L43+L48</f>
        <v>#DIV/0!</v>
      </c>
      <c r="M26" s="74" t="e">
        <f t="shared" si="0"/>
        <v>#DIV/0!</v>
      </c>
      <c r="N26" s="82"/>
      <c r="P26" s="17"/>
    </row>
    <row r="27" spans="1:24" s="115" customFormat="1" ht="17.25" hidden="1" customHeight="1">
      <c r="B27" s="116" t="s">
        <v>46</v>
      </c>
      <c r="C27" s="117"/>
      <c r="D27" s="117"/>
      <c r="E27" s="117"/>
      <c r="F27" s="117"/>
      <c r="G27" s="71">
        <f>' (смета)'!G31+' (смета) (2)'!G28+' (смета) (3)'!G29+' (смета) (4)'!G27+' (смета) (5)'!G27+' (смета) (6)'!G27</f>
        <v>0</v>
      </c>
      <c r="H27" s="49"/>
      <c r="I27" s="49"/>
      <c r="J27" s="49"/>
      <c r="K27" s="118"/>
      <c r="L27" s="119">
        <f>(H27/3*$L$20)/($H$20/3)</f>
        <v>0</v>
      </c>
      <c r="M27" s="74" t="e">
        <f t="shared" si="0"/>
        <v>#DIV/0!</v>
      </c>
      <c r="N27" s="82"/>
      <c r="O27" s="32"/>
    </row>
    <row r="28" spans="1:24" s="115" customFormat="1" ht="17.25" hidden="1" customHeight="1">
      <c r="B28" s="116" t="s">
        <v>47</v>
      </c>
      <c r="C28" s="117"/>
      <c r="D28" s="117"/>
      <c r="E28" s="117"/>
      <c r="F28" s="117"/>
      <c r="G28" s="71">
        <f>' (смета)'!G32+' (смета) (2)'!G29+' (смета) (3)'!G30+' (смета) (4)'!G28+' (смета) (5)'!G28+' (смета) (6)'!G28</f>
        <v>0</v>
      </c>
      <c r="H28" s="49"/>
      <c r="I28" s="49"/>
      <c r="J28" s="49"/>
      <c r="K28" s="49"/>
      <c r="L28" s="119"/>
      <c r="M28" s="74" t="e">
        <f t="shared" si="0"/>
        <v>#DIV/0!</v>
      </c>
      <c r="N28" s="82"/>
      <c r="O28" s="32"/>
    </row>
    <row r="29" spans="1:24" s="115" customFormat="1" ht="17.25" customHeight="1">
      <c r="B29" s="120" t="s">
        <v>48</v>
      </c>
      <c r="C29" s="121"/>
      <c r="D29" s="121"/>
      <c r="E29" s="121"/>
      <c r="F29" s="121"/>
      <c r="G29" s="71">
        <f>' (смета)'!G33+' (смета) (2)'!G30+' (смета) (3)'!G31+' (смета) (4)'!G29+' (смета) (5)'!G29+' (смета) (6)'!G29</f>
        <v>150080</v>
      </c>
      <c r="H29" s="49">
        <f>H30+H33+H37</f>
        <v>16480</v>
      </c>
      <c r="I29" s="49">
        <f>I30+I33+I37</f>
        <v>49440</v>
      </c>
      <c r="J29" s="49">
        <f>SUM(J30:J37)</f>
        <v>49440</v>
      </c>
      <c r="K29" s="49">
        <f>SUM(K30:K37)</f>
        <v>34720</v>
      </c>
      <c r="L29" s="106" t="e">
        <f>L30+L33+L37</f>
        <v>#DIV/0!</v>
      </c>
      <c r="M29" s="74" t="e">
        <f t="shared" si="0"/>
        <v>#DIV/0!</v>
      </c>
      <c r="N29" s="82">
        <f>G29/G20</f>
        <v>0.1</v>
      </c>
      <c r="O29" s="32"/>
    </row>
    <row r="30" spans="1:24" s="122" customFormat="1" ht="17.25" customHeight="1">
      <c r="B30" s="99" t="s">
        <v>49</v>
      </c>
      <c r="C30" s="93"/>
      <c r="D30" s="93"/>
      <c r="E30" s="123">
        <v>6.5000000000000002E-2</v>
      </c>
      <c r="F30" s="124"/>
      <c r="G30" s="71">
        <f>' (смета)'!G34+' (смета) (2)'!G31+' (смета) (3)'!G32+' (смета) (4)'!G30+' (смета) (5)'!G30+' (смета) (6)'!G30</f>
        <v>97552</v>
      </c>
      <c r="H30" s="126">
        <f>+H20*6.5%</f>
        <v>10712</v>
      </c>
      <c r="I30" s="126">
        <f>+I20*6.5%</f>
        <v>32136</v>
      </c>
      <c r="J30" s="126">
        <f>+J20*6.5%</f>
        <v>32136</v>
      </c>
      <c r="K30" s="126">
        <f>+K20*6.5%</f>
        <v>22568</v>
      </c>
      <c r="L30" s="94" t="e">
        <f>M30</f>
        <v>#DIV/0!</v>
      </c>
      <c r="M30" s="74" t="e">
        <f t="shared" si="0"/>
        <v>#DIV/0!</v>
      </c>
      <c r="N30" s="82"/>
      <c r="O30" s="19"/>
    </row>
    <row r="31" spans="1:24" s="128" customFormat="1" ht="17.25" hidden="1" customHeight="1">
      <c r="B31" s="129" t="s">
        <v>50</v>
      </c>
      <c r="C31" s="130"/>
      <c r="D31" s="130" t="s">
        <v>51</v>
      </c>
      <c r="E31" s="131"/>
      <c r="F31" s="130" t="s">
        <v>52</v>
      </c>
      <c r="G31" s="71">
        <f>' (смета)'!G35+' (смета) (2)'!G32+' (смета) (3)'!G33+' (смета) (4)'!G31+' (смета) (5)'!G31+' (смета) (6)'!G31</f>
        <v>0</v>
      </c>
      <c r="H31" s="133"/>
      <c r="I31" s="133"/>
      <c r="J31" s="133"/>
      <c r="K31" s="133"/>
      <c r="L31" s="94">
        <f>(H31/3*$L$20)/($H$20/3)</f>
        <v>0</v>
      </c>
      <c r="M31" s="74" t="e">
        <f t="shared" si="0"/>
        <v>#DIV/0!</v>
      </c>
      <c r="N31" s="149"/>
      <c r="O31" s="134"/>
    </row>
    <row r="32" spans="1:24" s="128" customFormat="1" ht="17.25" hidden="1" customHeight="1">
      <c r="B32" s="135" t="s">
        <v>53</v>
      </c>
      <c r="C32" s="136">
        <f>C31</f>
        <v>0</v>
      </c>
      <c r="D32" s="136" t="s">
        <v>54</v>
      </c>
      <c r="E32" s="137"/>
      <c r="F32" s="136"/>
      <c r="G32" s="71">
        <f>' (смета)'!G36+' (смета) (2)'!G33+' (смета) (3)'!G34+' (смета) (4)'!G32+' (смета) (5)'!G32+' (смета) (6)'!G32</f>
        <v>0</v>
      </c>
      <c r="H32" s="133"/>
      <c r="I32" s="133"/>
      <c r="J32" s="133"/>
      <c r="K32" s="133"/>
      <c r="L32" s="94">
        <f>(H32/3*$L$20)/($H$20/3)</f>
        <v>0</v>
      </c>
      <c r="M32" s="74" t="e">
        <f t="shared" si="0"/>
        <v>#DIV/0!</v>
      </c>
      <c r="N32" s="149"/>
      <c r="O32" s="134"/>
    </row>
    <row r="33" spans="2:16" s="122" customFormat="1" ht="17.25" customHeight="1">
      <c r="B33" s="99" t="s">
        <v>55</v>
      </c>
      <c r="C33" s="93"/>
      <c r="D33" s="93"/>
      <c r="E33" s="123">
        <v>2.1000000000000001E-2</v>
      </c>
      <c r="F33" s="124"/>
      <c r="G33" s="71">
        <f>' (смета)'!G37+' (смета) (2)'!G34+' (смета) (3)'!G35+' (смета) (4)'!G33+' (смета) (5)'!G33+' (смета) (6)'!G33</f>
        <v>31516.800000000003</v>
      </c>
      <c r="H33" s="126">
        <f>+H20*2.1%</f>
        <v>3460.8</v>
      </c>
      <c r="I33" s="126">
        <f>+I20*2.1%</f>
        <v>10382.400000000001</v>
      </c>
      <c r="J33" s="126">
        <f>+J20*2.1%</f>
        <v>10382.400000000001</v>
      </c>
      <c r="K33" s="126">
        <f>+K20*2.1%</f>
        <v>7291.2000000000007</v>
      </c>
      <c r="L33" s="94" t="e">
        <f>M33</f>
        <v>#DIV/0!</v>
      </c>
      <c r="M33" s="74" t="e">
        <f t="shared" si="0"/>
        <v>#DIV/0!</v>
      </c>
      <c r="N33" s="18"/>
      <c r="O33" s="19"/>
    </row>
    <row r="34" spans="2:16" s="128" customFormat="1" ht="18.75" hidden="1" customHeight="1">
      <c r="B34" s="139"/>
      <c r="C34" s="130"/>
      <c r="D34" s="130">
        <f>1.44*24*3</f>
        <v>103.68</v>
      </c>
      <c r="E34" s="131" t="s">
        <v>56</v>
      </c>
      <c r="F34" s="140"/>
      <c r="G34" s="71">
        <f>' (смета)'!G38+' (смета) (2)'!G35+' (смета) (3)'!G36+' (смета) (4)'!G34+' (смета) (5)'!G34+' (смета) (6)'!G34</f>
        <v>0</v>
      </c>
      <c r="H34" s="133"/>
      <c r="I34" s="133"/>
      <c r="J34" s="133"/>
      <c r="K34" s="133"/>
      <c r="L34" s="94">
        <f>(H34/3*$L$20)/($H$20/3)</f>
        <v>0</v>
      </c>
      <c r="M34" s="74" t="e">
        <f>F34/$N$9</f>
        <v>#DIV/0!</v>
      </c>
      <c r="N34" s="149"/>
      <c r="O34" s="134"/>
      <c r="P34" s="128">
        <v>224</v>
      </c>
    </row>
    <row r="35" spans="2:16" s="128" customFormat="1" ht="18.75" hidden="1" customHeight="1">
      <c r="B35" s="130" t="s">
        <v>57</v>
      </c>
      <c r="C35" s="134"/>
      <c r="D35" s="130"/>
      <c r="E35" s="131"/>
      <c r="F35" s="130"/>
      <c r="G35" s="71">
        <f>' (смета)'!G39+' (смета) (2)'!G36+' (смета) (3)'!G37+' (смета) (4)'!G35+' (смета) (5)'!G35+' (смета) (6)'!G35</f>
        <v>0</v>
      </c>
      <c r="H35" s="133"/>
      <c r="I35" s="133"/>
      <c r="J35" s="133"/>
      <c r="K35" s="133"/>
      <c r="L35" s="94">
        <f>(H35/3*$L$20)/($H$20/3)</f>
        <v>0</v>
      </c>
      <c r="M35" s="74" t="e">
        <f t="shared" ref="M35:M61" si="1">G35/$N$9</f>
        <v>#DIV/0!</v>
      </c>
      <c r="N35" s="149"/>
      <c r="O35" s="134"/>
    </row>
    <row r="36" spans="2:16" s="128" customFormat="1" ht="18.75" hidden="1" customHeight="1">
      <c r="B36" s="143"/>
      <c r="C36" s="130" t="s">
        <v>58</v>
      </c>
      <c r="D36" s="130"/>
      <c r="E36" s="131"/>
      <c r="F36" s="143"/>
      <c r="G36" s="71" t="e">
        <f>' (смета)'!G40+' (смета) (2)'!G37+' (смета) (3)'!G38+' (смета) (4)'!G36+' (смета) (5)'!G36+' (смета) (6)'!G36</f>
        <v>#VALUE!</v>
      </c>
      <c r="H36" s="133"/>
      <c r="I36" s="133"/>
      <c r="J36" s="133"/>
      <c r="K36" s="133"/>
      <c r="L36" s="94">
        <f>(H36/3*$L$20)/($H$20/3)</f>
        <v>0</v>
      </c>
      <c r="M36" s="74" t="e">
        <f t="shared" si="1"/>
        <v>#VALUE!</v>
      </c>
      <c r="N36" s="149"/>
      <c r="O36" s="134"/>
    </row>
    <row r="37" spans="2:16" s="122" customFormat="1" ht="17.25" customHeight="1">
      <c r="B37" s="144" t="s">
        <v>60</v>
      </c>
      <c r="C37" s="93"/>
      <c r="D37" s="93"/>
      <c r="E37" s="123">
        <v>1.4E-2</v>
      </c>
      <c r="F37" s="145"/>
      <c r="G37" s="71">
        <f>' (смета)'!G41+' (смета) (2)'!G38+' (смета) (3)'!G39+' (смета) (4)'!G37+' (смета) (5)'!G37+' (смета) (6)'!G37</f>
        <v>21011.199999999997</v>
      </c>
      <c r="H37" s="126">
        <f>+H20*1.4%</f>
        <v>2307.1999999999998</v>
      </c>
      <c r="I37" s="126">
        <f>+I20*1.4%</f>
        <v>6921.5999999999995</v>
      </c>
      <c r="J37" s="126">
        <f>+J20*1.4%</f>
        <v>6921.5999999999995</v>
      </c>
      <c r="K37" s="126">
        <f>+K20*1.4%</f>
        <v>4860.7999999999993</v>
      </c>
      <c r="L37" s="94" t="e">
        <f>M37</f>
        <v>#DIV/0!</v>
      </c>
      <c r="M37" s="74" t="e">
        <f t="shared" si="1"/>
        <v>#DIV/0!</v>
      </c>
      <c r="N37" s="18"/>
      <c r="O37" s="19"/>
    </row>
    <row r="38" spans="2:16" s="128" customFormat="1" ht="18.75" hidden="1" customHeight="1">
      <c r="B38" s="139" t="s">
        <v>61</v>
      </c>
      <c r="C38" s="130"/>
      <c r="D38" s="130">
        <f>50</f>
        <v>50</v>
      </c>
      <c r="E38" s="130" t="s">
        <v>62</v>
      </c>
      <c r="F38" s="134"/>
      <c r="G38" s="71">
        <f>' (смета)'!G42+' (смета) (2)'!G39+' (смета) (3)'!G40+' (смета) (4)'!G38+' (смета) (5)'!G38+' (смета) (6)'!G38</f>
        <v>0</v>
      </c>
      <c r="H38" s="147"/>
      <c r="I38" s="147"/>
      <c r="J38" s="147"/>
      <c r="K38" s="147"/>
      <c r="L38" s="148"/>
      <c r="M38" s="74" t="e">
        <f t="shared" si="1"/>
        <v>#DIV/0!</v>
      </c>
      <c r="N38" s="149"/>
      <c r="O38" s="134"/>
      <c r="P38" s="128">
        <v>224</v>
      </c>
    </row>
    <row r="39" spans="2:16" s="128" customFormat="1" ht="18.75" hidden="1" customHeight="1">
      <c r="B39" s="139" t="s">
        <v>63</v>
      </c>
      <c r="C39" s="130"/>
      <c r="D39" s="130">
        <f>50</f>
        <v>50</v>
      </c>
      <c r="E39" s="130" t="s">
        <v>62</v>
      </c>
      <c r="F39" s="134"/>
      <c r="G39" s="71">
        <f>' (смета)'!G43+' (смета) (2)'!G40+' (смета) (3)'!G41+' (смета) (4)'!G39+' (смета) (5)'!G39+' (смета) (6)'!G39</f>
        <v>0</v>
      </c>
      <c r="H39" s="147"/>
      <c r="I39" s="147"/>
      <c r="J39" s="147"/>
      <c r="K39" s="147">
        <f>H39</f>
        <v>0</v>
      </c>
      <c r="L39" s="148"/>
      <c r="M39" s="74" t="e">
        <f t="shared" si="1"/>
        <v>#DIV/0!</v>
      </c>
      <c r="N39" s="149"/>
      <c r="O39" s="134"/>
      <c r="P39" s="128">
        <v>224</v>
      </c>
    </row>
    <row r="40" spans="2:16" s="122" customFormat="1" ht="11.25" hidden="1" customHeight="1">
      <c r="B40" s="150"/>
      <c r="C40" s="52"/>
      <c r="D40" s="52"/>
      <c r="E40" s="52"/>
      <c r="F40" s="52"/>
      <c r="G40" s="71">
        <f>' (смета)'!G44+' (смета) (2)'!G41+' (смета) (3)'!G42+' (смета) (4)'!G40+' (смета) (5)'!G40+' (смета) (6)'!G40</f>
        <v>0</v>
      </c>
      <c r="H40" s="50"/>
      <c r="I40" s="67"/>
      <c r="J40" s="151"/>
      <c r="K40" s="151"/>
      <c r="L40" s="148"/>
      <c r="M40" s="74" t="e">
        <f t="shared" si="1"/>
        <v>#DIV/0!</v>
      </c>
      <c r="N40" s="18"/>
      <c r="O40" s="19"/>
    </row>
    <row r="41" spans="2:16" s="115" customFormat="1" ht="18.75" hidden="1" customHeight="1">
      <c r="B41" s="116" t="s">
        <v>64</v>
      </c>
      <c r="C41" s="117"/>
      <c r="D41" s="117"/>
      <c r="E41" s="117"/>
      <c r="F41" s="117"/>
      <c r="G41" s="71">
        <f>' (смета)'!G45+' (смета) (2)'!G42+' (смета) (3)'!G43+' (смета) (4)'!G41+' (смета) (5)'!G41+' (смета) (6)'!G41</f>
        <v>0</v>
      </c>
      <c r="H41" s="152"/>
      <c r="I41" s="152"/>
      <c r="J41" s="152"/>
      <c r="K41" s="153"/>
      <c r="L41" s="154"/>
      <c r="M41" s="74" t="e">
        <f t="shared" si="1"/>
        <v>#DIV/0!</v>
      </c>
      <c r="N41" s="36"/>
      <c r="O41" s="32"/>
    </row>
    <row r="42" spans="2:16" s="115" customFormat="1" ht="20.25" hidden="1" customHeight="1">
      <c r="B42" s="155"/>
      <c r="C42" s="156"/>
      <c r="D42" s="156"/>
      <c r="E42" s="156"/>
      <c r="F42" s="156"/>
      <c r="G42" s="71">
        <f>' (смета)'!G46+' (смета) (2)'!G43+' (смета) (3)'!G44+' (смета) (4)'!G42+' (смета) (5)'!G42+' (смета) (6)'!G42</f>
        <v>0</v>
      </c>
      <c r="H42" s="157"/>
      <c r="I42" s="157"/>
      <c r="J42" s="157"/>
      <c r="K42" s="157"/>
      <c r="L42" s="119">
        <f>(H42/3*$L$20)/($H$20/3)</f>
        <v>0</v>
      </c>
      <c r="M42" s="74" t="e">
        <f t="shared" si="1"/>
        <v>#DIV/0!</v>
      </c>
      <c r="N42" s="36"/>
      <c r="O42" s="32"/>
    </row>
    <row r="43" spans="2:16" s="115" customFormat="1" ht="21" hidden="1" customHeight="1">
      <c r="B43" s="158" t="s">
        <v>65</v>
      </c>
      <c r="C43" s="159"/>
      <c r="D43" s="159"/>
      <c r="E43" s="159"/>
      <c r="F43" s="159"/>
      <c r="G43" s="71">
        <f>' (смета)'!G47+' (смета) (2)'!G44+' (смета) (3)'!G45+' (смета) (4)'!G43+' (смета) (5)'!G43+' (смета) (6)'!G43</f>
        <v>0</v>
      </c>
      <c r="H43" s="152">
        <f>H44+H46+H47</f>
        <v>0</v>
      </c>
      <c r="I43" s="152">
        <f>I44+I46+I47</f>
        <v>0</v>
      </c>
      <c r="J43" s="152">
        <f>J44+J46+J47</f>
        <v>0</v>
      </c>
      <c r="K43" s="152">
        <f>K44+K46+K47</f>
        <v>0</v>
      </c>
      <c r="L43" s="100" t="e">
        <f>L44+L46+L47</f>
        <v>#DIV/0!</v>
      </c>
      <c r="M43" s="74" t="e">
        <f t="shared" si="1"/>
        <v>#DIV/0!</v>
      </c>
      <c r="N43" s="36"/>
      <c r="O43" s="32"/>
    </row>
    <row r="44" spans="2:16" s="160" customFormat="1" ht="15" hidden="1" customHeight="1">
      <c r="B44" s="144" t="s">
        <v>66</v>
      </c>
      <c r="C44" s="161"/>
      <c r="D44" s="161"/>
      <c r="E44" s="161"/>
      <c r="F44" s="145"/>
      <c r="G44" s="71">
        <f>' (смета)'!G48+' (смета) (2)'!G45+' (смета) (3)'!G46+' (смета) (4)'!G44+' (смета) (5)'!G44+' (смета) (6)'!G44</f>
        <v>0</v>
      </c>
      <c r="H44" s="49"/>
      <c r="I44" s="49"/>
      <c r="J44" s="49"/>
      <c r="K44" s="49"/>
      <c r="L44" s="162">
        <f>(H44/3*$L$20)/($H$20/3)</f>
        <v>0</v>
      </c>
      <c r="M44" s="74" t="e">
        <f t="shared" si="1"/>
        <v>#DIV/0!</v>
      </c>
      <c r="N44" s="36"/>
      <c r="O44" s="32"/>
    </row>
    <row r="45" spans="2:16" s="128" customFormat="1" ht="15" hidden="1" customHeight="1">
      <c r="B45" s="139" t="s">
        <v>67</v>
      </c>
      <c r="C45" s="130"/>
      <c r="D45" s="130"/>
      <c r="E45" s="130"/>
      <c r="F45" s="130" t="s">
        <v>68</v>
      </c>
      <c r="G45" s="71">
        <f>' (смета)'!G49+' (смета) (2)'!G46+' (смета) (3)'!G47+' (смета) (4)'!G45+' (смета) (5)'!G45+' (смета) (6)'!G45</f>
        <v>0</v>
      </c>
      <c r="H45" s="147">
        <f>ROUND(E45*0.976*1.18,1)</f>
        <v>0</v>
      </c>
      <c r="I45" s="147">
        <f>ROUND(E45*0.976*1.18,1)</f>
        <v>0</v>
      </c>
      <c r="J45" s="147">
        <f>ROUND(E45*0.976*1.18,1)</f>
        <v>0</v>
      </c>
      <c r="K45" s="147">
        <f>ROUND(E45*0.976*1.18,1)</f>
        <v>0</v>
      </c>
      <c r="L45" s="163">
        <f>(H45/3*$L$20)/($H$20/3)</f>
        <v>0</v>
      </c>
      <c r="M45" s="74" t="e">
        <f t="shared" si="1"/>
        <v>#DIV/0!</v>
      </c>
      <c r="N45" s="149"/>
      <c r="O45" s="134"/>
    </row>
    <row r="46" spans="2:16" s="122" customFormat="1" ht="15" hidden="1" customHeight="1">
      <c r="B46" s="99" t="s">
        <v>69</v>
      </c>
      <c r="C46" s="93"/>
      <c r="D46" s="93"/>
      <c r="E46" s="93"/>
      <c r="F46" s="124"/>
      <c r="G46" s="71">
        <f>' (смета)'!G50+' (смета) (2)'!G47+' (смета) (3)'!G48+' (смета) (4)'!G46+' (смета) (5)'!G46+' (смета) (6)'!G46</f>
        <v>0</v>
      </c>
      <c r="H46" s="49"/>
      <c r="I46" s="49"/>
      <c r="J46" s="49"/>
      <c r="K46" s="49"/>
      <c r="L46" s="119" t="e">
        <f>M46</f>
        <v>#DIV/0!</v>
      </c>
      <c r="M46" s="74" t="e">
        <f t="shared" si="1"/>
        <v>#DIV/0!</v>
      </c>
      <c r="N46" s="18"/>
      <c r="O46" s="19"/>
    </row>
    <row r="47" spans="2:16" s="128" customFormat="1" ht="15" hidden="1" customHeight="1">
      <c r="B47" s="99" t="s">
        <v>70</v>
      </c>
      <c r="C47" s="164"/>
      <c r="D47" s="164"/>
      <c r="E47" s="164"/>
      <c r="F47" s="164"/>
      <c r="G47" s="71">
        <f>' (смета)'!G51+' (смета) (2)'!G48+' (смета) (3)'!G49+' (смета) (4)'!G47+' (смета) (5)'!G47+' (смета) (6)'!G47</f>
        <v>0</v>
      </c>
      <c r="H47" s="49"/>
      <c r="I47" s="49"/>
      <c r="J47" s="49"/>
      <c r="K47" s="49"/>
      <c r="L47" s="165" t="e">
        <f>M47</f>
        <v>#DIV/0!</v>
      </c>
      <c r="M47" s="74" t="e">
        <f t="shared" si="1"/>
        <v>#DIV/0!</v>
      </c>
      <c r="N47" s="149"/>
      <c r="O47" s="134"/>
    </row>
    <row r="48" spans="2:16" s="115" customFormat="1" ht="18" customHeight="1">
      <c r="B48" s="120" t="s">
        <v>71</v>
      </c>
      <c r="C48" s="121"/>
      <c r="D48" s="121"/>
      <c r="E48" s="121"/>
      <c r="F48" s="121"/>
      <c r="G48" s="71">
        <f>' (смета)'!G52+' (смета) (2)'!G49+' (смета) (3)'!G50+' (смета) (4)'!G48+' (смета) (5)'!G48+' (смета) (6)'!G48</f>
        <v>94550.399999999994</v>
      </c>
      <c r="H48" s="49">
        <f>SUM(H49:H52)</f>
        <v>10382.4</v>
      </c>
      <c r="I48" s="49">
        <f>SUM(I49:I52)</f>
        <v>31147.200000000001</v>
      </c>
      <c r="J48" s="49">
        <f>SUM(J49:J52)</f>
        <v>31147.200000000001</v>
      </c>
      <c r="K48" s="49">
        <f>SUM(K49:K52)</f>
        <v>21873.599999999999</v>
      </c>
      <c r="L48" s="119" t="e">
        <f>L49+L50+L51</f>
        <v>#DIV/0!</v>
      </c>
      <c r="M48" s="74" t="e">
        <f t="shared" si="1"/>
        <v>#DIV/0!</v>
      </c>
      <c r="N48" s="36"/>
      <c r="O48" s="32"/>
    </row>
    <row r="49" spans="1:15" s="122" customFormat="1" ht="32.25" customHeight="1">
      <c r="B49" s="9" t="s">
        <v>72</v>
      </c>
      <c r="C49" s="9"/>
      <c r="D49" s="9"/>
      <c r="E49" s="167">
        <v>0.05</v>
      </c>
      <c r="F49" s="93"/>
      <c r="G49" s="71">
        <f>' (смета)'!G53+' (смета) (2)'!G50+' (смета) (3)'!G51+' (смета) (4)'!G49+' (смета) (5)'!G49+' (смета) (6)'!G49</f>
        <v>75040</v>
      </c>
      <c r="H49" s="49">
        <f>H20*5%</f>
        <v>8240</v>
      </c>
      <c r="I49" s="49">
        <f>I20*5%</f>
        <v>24720</v>
      </c>
      <c r="J49" s="49">
        <f>J20*5%</f>
        <v>24720</v>
      </c>
      <c r="K49" s="49">
        <f>K20*5%</f>
        <v>17360</v>
      </c>
      <c r="L49" s="165" t="e">
        <f>M49</f>
        <v>#DIV/0!</v>
      </c>
      <c r="M49" s="74" t="e">
        <f t="shared" si="1"/>
        <v>#DIV/0!</v>
      </c>
      <c r="N49" s="82">
        <f>G49/G20</f>
        <v>0.05</v>
      </c>
      <c r="O49" s="19"/>
    </row>
    <row r="50" spans="1:15" s="122" customFormat="1" ht="18.75" customHeight="1">
      <c r="B50" s="99" t="s">
        <v>73</v>
      </c>
      <c r="C50" s="105"/>
      <c r="D50" s="105"/>
      <c r="E50" s="168">
        <v>1.2999999999999999E-2</v>
      </c>
      <c r="F50" s="169"/>
      <c r="G50" s="71">
        <f>' (смета)'!G54+' (смета) (2)'!G51+' (смета) (3)'!G52+' (смета) (4)'!G50+' (смета) (5)'!G50+' (смета) (6)'!G50</f>
        <v>19510.400000000001</v>
      </c>
      <c r="H50" s="49">
        <f>H20*1.3%</f>
        <v>2142.4</v>
      </c>
      <c r="I50" s="49">
        <f>I20*1.3%</f>
        <v>6427.2000000000007</v>
      </c>
      <c r="J50" s="49">
        <f>J20*1.3%</f>
        <v>6427.2000000000007</v>
      </c>
      <c r="K50" s="49">
        <f>K20*1.3%</f>
        <v>4513.6000000000004</v>
      </c>
      <c r="L50" s="100">
        <f>G50/7296</f>
        <v>2.674122807017544</v>
      </c>
      <c r="M50" s="74" t="e">
        <f t="shared" si="1"/>
        <v>#DIV/0!</v>
      </c>
      <c r="N50" s="82">
        <f>G50/G20</f>
        <v>1.3000000000000001E-2</v>
      </c>
      <c r="O50" s="19"/>
    </row>
    <row r="51" spans="1:15" s="122" customFormat="1" ht="15" hidden="1" customHeight="1">
      <c r="B51" s="99" t="s">
        <v>74</v>
      </c>
      <c r="C51" s="161"/>
      <c r="D51" s="161"/>
      <c r="E51" s="161"/>
      <c r="F51" s="161"/>
      <c r="G51" s="71">
        <f>' (смета)'!G55+' (смета) (2)'!G52+' (смета) (3)'!G53+' (смета) (4)'!G51+' (смета) (5)'!G51+' (смета) (6)'!G51</f>
        <v>0</v>
      </c>
      <c r="H51" s="49"/>
      <c r="I51" s="49"/>
      <c r="J51" s="49"/>
      <c r="K51" s="49"/>
      <c r="L51" s="100">
        <f>L52</f>
        <v>0</v>
      </c>
      <c r="M51" s="74" t="e">
        <f t="shared" si="1"/>
        <v>#DIV/0!</v>
      </c>
      <c r="N51" s="18"/>
      <c r="O51" s="19"/>
    </row>
    <row r="52" spans="1:15" s="128" customFormat="1" ht="16.5" hidden="1" customHeight="1">
      <c r="B52" s="170" t="s">
        <v>75</v>
      </c>
      <c r="C52" s="171"/>
      <c r="D52" s="171"/>
      <c r="E52" s="172">
        <v>0.6</v>
      </c>
      <c r="F52" s="171"/>
      <c r="G52" s="71">
        <f>' (смета)'!G56+' (смета) (2)'!G53+' (смета) (3)'!G54+' (смета) (4)'!G52+' (смета) (5)'!G52+' (смета) (6)'!G52</f>
        <v>0</v>
      </c>
      <c r="H52" s="49">
        <f>H20*60%-H21</f>
        <v>0</v>
      </c>
      <c r="I52" s="49">
        <f>I20*60%-I21</f>
        <v>0</v>
      </c>
      <c r="J52" s="49">
        <f>J20*60%-J21</f>
        <v>0</v>
      </c>
      <c r="K52" s="49">
        <f>K20*60%-K21</f>
        <v>0</v>
      </c>
      <c r="L52" s="173">
        <f>G52/1440</f>
        <v>0</v>
      </c>
      <c r="M52" s="74" t="e">
        <f t="shared" si="1"/>
        <v>#DIV/0!</v>
      </c>
      <c r="N52" s="149"/>
      <c r="O52" s="134"/>
    </row>
    <row r="53" spans="1:15" s="128" customFormat="1" ht="15" hidden="1" customHeight="1">
      <c r="B53" s="139"/>
      <c r="C53" s="130"/>
      <c r="D53" s="130"/>
      <c r="E53" s="130"/>
      <c r="F53" s="130"/>
      <c r="G53" s="71">
        <f>' (смета)'!G57+' (смета) (2)'!G54+' (смета) (3)'!G55+' (смета) (4)'!G53+' (смета) (5)'!G53+' (смета) (6)'!G53</f>
        <v>0</v>
      </c>
      <c r="H53" s="152"/>
      <c r="I53" s="152"/>
      <c r="J53" s="152"/>
      <c r="K53" s="153"/>
      <c r="L53" s="174"/>
      <c r="M53" s="74" t="e">
        <f t="shared" si="1"/>
        <v>#DIV/0!</v>
      </c>
      <c r="N53" s="149"/>
      <c r="O53" s="134"/>
    </row>
    <row r="54" spans="1:15" s="19" customFormat="1" ht="15" hidden="1" customHeight="1">
      <c r="A54" s="52"/>
      <c r="B54" s="175" t="s">
        <v>76</v>
      </c>
      <c r="C54" s="176"/>
      <c r="D54" s="176"/>
      <c r="E54" s="176"/>
      <c r="F54" s="176"/>
      <c r="G54" s="71">
        <f>' (смета)'!G58+' (смета) (2)'!G55+' (смета) (3)'!G56+' (смета) (4)'!G54+' (смета) (5)'!G54+' (смета) (6)'!G54</f>
        <v>0</v>
      </c>
      <c r="H54" s="59">
        <f>H55+H56</f>
        <v>0</v>
      </c>
      <c r="I54" s="59">
        <f>I55+I56</f>
        <v>0</v>
      </c>
      <c r="J54" s="59">
        <f>J55+J56</f>
        <v>0</v>
      </c>
      <c r="K54" s="59">
        <f>K55+K56</f>
        <v>0</v>
      </c>
      <c r="L54" s="177" t="e">
        <f>L55+L56</f>
        <v>#DIV/0!</v>
      </c>
      <c r="M54" s="74" t="e">
        <f t="shared" si="1"/>
        <v>#DIV/0!</v>
      </c>
      <c r="N54" s="18"/>
    </row>
    <row r="55" spans="1:15" s="19" customFormat="1" ht="15" hidden="1" customHeight="1">
      <c r="A55" s="52"/>
      <c r="B55" s="139" t="s">
        <v>77</v>
      </c>
      <c r="C55" s="178"/>
      <c r="D55" s="178"/>
      <c r="E55" s="178"/>
      <c r="F55" s="178"/>
      <c r="G55" s="71">
        <f>' (смета)'!G59+' (смета) (2)'!G56+' (смета) (3)'!G57+' (смета) (4)'!G55+' (смета) (5)'!G55+' (смета) (6)'!G55</f>
        <v>0</v>
      </c>
      <c r="H55" s="49"/>
      <c r="I55" s="49"/>
      <c r="J55" s="49"/>
      <c r="K55" s="49"/>
      <c r="L55" s="177" t="e">
        <f>M55</f>
        <v>#DIV/0!</v>
      </c>
      <c r="M55" s="74" t="e">
        <f t="shared" si="1"/>
        <v>#DIV/0!</v>
      </c>
      <c r="N55" s="18"/>
    </row>
    <row r="56" spans="1:15" s="19" customFormat="1" ht="15" hidden="1" customHeight="1">
      <c r="A56" s="52"/>
      <c r="B56" s="155" t="s">
        <v>78</v>
      </c>
      <c r="C56" s="179"/>
      <c r="D56" s="179"/>
      <c r="E56" s="179"/>
      <c r="F56" s="180"/>
      <c r="G56" s="71">
        <f>' (смета)'!G60+' (смета) (2)'!G57+' (смета) (3)'!G58+' (смета) (4)'!G56+' (смета) (5)'!G56+' (смета) (6)'!G56</f>
        <v>0</v>
      </c>
      <c r="H56" s="58"/>
      <c r="I56" s="181"/>
      <c r="J56" s="58"/>
      <c r="K56" s="182"/>
      <c r="L56" s="174" t="e">
        <f>M56</f>
        <v>#DIV/0!</v>
      </c>
      <c r="M56" s="74" t="e">
        <f t="shared" si="1"/>
        <v>#DIV/0!</v>
      </c>
      <c r="N56" s="18"/>
    </row>
    <row r="57" spans="1:15" s="19" customFormat="1" ht="15" hidden="1" customHeight="1">
      <c r="A57" s="52"/>
      <c r="B57" s="183"/>
      <c r="C57" s="184"/>
      <c r="D57" s="184"/>
      <c r="E57" s="184"/>
      <c r="F57" s="184"/>
      <c r="G57" s="71">
        <f>' (смета)'!G61+' (смета) (2)'!G58+' (смета) (3)'!G59+' (смета) (4)'!G57+' (смета) (5)'!G57+' (смета) (6)'!G57</f>
        <v>0</v>
      </c>
      <c r="H57" s="185"/>
      <c r="I57" s="185"/>
      <c r="J57" s="185"/>
      <c r="K57" s="185"/>
      <c r="L57" s="186">
        <f>G57/7296</f>
        <v>0</v>
      </c>
      <c r="M57" s="74" t="e">
        <f t="shared" si="1"/>
        <v>#DIV/0!</v>
      </c>
      <c r="N57" s="18"/>
    </row>
    <row r="58" spans="1:15" s="19" customFormat="1" ht="24.95" customHeight="1">
      <c r="A58" s="52"/>
      <c r="B58" s="187" t="s">
        <v>79</v>
      </c>
      <c r="C58" s="188"/>
      <c r="D58" s="188"/>
      <c r="E58" s="188"/>
      <c r="F58" s="188"/>
      <c r="G58" s="71">
        <f>' (смета)'!G62+' (смета) (2)'!G59+' (смета) (3)'!G60+' (смета) (4)'!G58+' (смета) (5)'!G58+' (смета) (6)'!G58</f>
        <v>355689.6</v>
      </c>
      <c r="H58" s="113">
        <f>H65+H59</f>
        <v>39057.599999999999</v>
      </c>
      <c r="I58" s="113">
        <f>I65+I59</f>
        <v>117172.79999999999</v>
      </c>
      <c r="J58" s="113">
        <f>J65+J59</f>
        <v>117172.79999999999</v>
      </c>
      <c r="K58" s="113">
        <f>K65+K59</f>
        <v>82286.399999999994</v>
      </c>
      <c r="L58" s="189" t="e">
        <f>L65+L59</f>
        <v>#DIV/0!</v>
      </c>
      <c r="M58" s="74" t="e">
        <f t="shared" si="1"/>
        <v>#DIV/0!</v>
      </c>
      <c r="N58" s="82">
        <f>G58/G20</f>
        <v>0.23699999999999999</v>
      </c>
    </row>
    <row r="59" spans="1:15" s="32" customFormat="1" ht="17.25" customHeight="1">
      <c r="B59" s="190" t="s">
        <v>80</v>
      </c>
      <c r="C59" s="117"/>
      <c r="D59" s="117"/>
      <c r="E59" s="117"/>
      <c r="F59" s="117"/>
      <c r="G59" s="71">
        <f>' (смета)'!G63+' (смета) (2)'!G60+' (смета) (3)'!G61+' (смета) (4)'!G59+' (смета) (5)'!G59+' (смета) (6)'!G59</f>
        <v>355689.6</v>
      </c>
      <c r="H59" s="191">
        <f>H60</f>
        <v>39057.599999999999</v>
      </c>
      <c r="I59" s="191">
        <f>I60</f>
        <v>117172.79999999999</v>
      </c>
      <c r="J59" s="191">
        <f>J60</f>
        <v>117172.79999999999</v>
      </c>
      <c r="K59" s="191">
        <f>K60</f>
        <v>82286.399999999994</v>
      </c>
      <c r="L59" s="192" t="e">
        <f>M59</f>
        <v>#DIV/0!</v>
      </c>
      <c r="M59" s="74" t="e">
        <f t="shared" si="1"/>
        <v>#DIV/0!</v>
      </c>
      <c r="N59" s="36"/>
    </row>
    <row r="60" spans="1:15" s="160" customFormat="1" ht="17.25" customHeight="1">
      <c r="B60" s="99" t="s">
        <v>81</v>
      </c>
      <c r="C60" s="93"/>
      <c r="D60" s="93"/>
      <c r="E60" s="93"/>
      <c r="F60" s="93"/>
      <c r="G60" s="71">
        <f>' (смета)'!G64+' (смета) (2)'!G61+' (смета) (3)'!G62+' (смета) (4)'!G60+' (смета) (5)'!G60+' (смета) (6)'!G60</f>
        <v>355689.6</v>
      </c>
      <c r="H60" s="49">
        <f>H20*23.7%</f>
        <v>39057.599999999999</v>
      </c>
      <c r="I60" s="49">
        <f>I20*23.7%</f>
        <v>117172.79999999999</v>
      </c>
      <c r="J60" s="49">
        <f>J20*23.7%</f>
        <v>117172.79999999999</v>
      </c>
      <c r="K60" s="49">
        <f>K20*23.7%</f>
        <v>82286.399999999994</v>
      </c>
      <c r="L60" s="192" t="e">
        <f>G60/$N$9</f>
        <v>#DIV/0!</v>
      </c>
      <c r="M60" s="74" t="e">
        <f t="shared" si="1"/>
        <v>#DIV/0!</v>
      </c>
      <c r="N60" s="36"/>
      <c r="O60" s="32"/>
    </row>
    <row r="61" spans="1:15" s="160" customFormat="1" ht="17.25" hidden="1" customHeight="1">
      <c r="B61" s="99" t="s">
        <v>82</v>
      </c>
      <c r="C61" s="93"/>
      <c r="D61" s="93"/>
      <c r="E61" s="93"/>
      <c r="F61" s="93"/>
      <c r="G61" s="49">
        <f t="shared" ref="G61:G71" si="2">SUM(H61:K61)</f>
        <v>0</v>
      </c>
      <c r="H61" s="49"/>
      <c r="I61" s="49"/>
      <c r="J61" s="49"/>
      <c r="K61" s="49"/>
      <c r="L61" s="193" t="e">
        <f>G61/$N$9</f>
        <v>#DIV/0!</v>
      </c>
      <c r="M61" s="74" t="e">
        <f t="shared" si="1"/>
        <v>#DIV/0!</v>
      </c>
      <c r="N61" s="36"/>
      <c r="O61" s="32"/>
    </row>
    <row r="62" spans="1:15" s="160" customFormat="1" ht="17.25" hidden="1" customHeight="1">
      <c r="B62" s="144" t="s">
        <v>83</v>
      </c>
      <c r="C62" s="161"/>
      <c r="D62" s="161"/>
      <c r="E62" s="161"/>
      <c r="F62" s="161"/>
      <c r="G62" s="49">
        <f t="shared" si="2"/>
        <v>0</v>
      </c>
      <c r="H62" s="49"/>
      <c r="I62" s="49"/>
      <c r="J62" s="49"/>
      <c r="K62" s="49"/>
      <c r="L62" s="193"/>
      <c r="M62" s="74"/>
      <c r="N62" s="36"/>
      <c r="O62" s="32"/>
    </row>
    <row r="63" spans="1:15" s="122" customFormat="1" ht="17.25" hidden="1" customHeight="1">
      <c r="B63" s="144" t="s">
        <v>84</v>
      </c>
      <c r="C63" s="161"/>
      <c r="D63" s="161"/>
      <c r="E63" s="161"/>
      <c r="F63" s="161"/>
      <c r="G63" s="49">
        <f t="shared" si="2"/>
        <v>0</v>
      </c>
      <c r="H63" s="49"/>
      <c r="I63" s="49"/>
      <c r="J63" s="49"/>
      <c r="K63" s="49"/>
      <c r="L63" s="193" t="e">
        <f>M63</f>
        <v>#DIV/0!</v>
      </c>
      <c r="M63" s="74" t="e">
        <f t="shared" ref="M63:M71" si="3">G63/$N$9</f>
        <v>#DIV/0!</v>
      </c>
      <c r="N63" s="18"/>
      <c r="O63" s="19"/>
    </row>
    <row r="64" spans="1:15" s="122" customFormat="1" ht="17.25" hidden="1" customHeight="1">
      <c r="B64" s="99" t="s">
        <v>85</v>
      </c>
      <c r="C64" s="93"/>
      <c r="D64" s="93"/>
      <c r="E64" s="93"/>
      <c r="F64" s="93"/>
      <c r="G64" s="49">
        <f t="shared" si="2"/>
        <v>0</v>
      </c>
      <c r="H64" s="49"/>
      <c r="I64" s="49"/>
      <c r="J64" s="49"/>
      <c r="K64" s="49"/>
      <c r="L64" s="193" t="e">
        <f>G64/$N$9</f>
        <v>#DIV/0!</v>
      </c>
      <c r="M64" s="74" t="e">
        <f t="shared" si="3"/>
        <v>#DIV/0!</v>
      </c>
      <c r="N64" s="18"/>
      <c r="O64" s="19"/>
    </row>
    <row r="65" spans="2:15" s="115" customFormat="1" ht="16.5" hidden="1" customHeight="1">
      <c r="B65" s="120" t="s">
        <v>86</v>
      </c>
      <c r="C65" s="121"/>
      <c r="D65" s="121"/>
      <c r="E65" s="121"/>
      <c r="F65" s="121"/>
      <c r="G65" s="49">
        <f t="shared" si="2"/>
        <v>0</v>
      </c>
      <c r="H65" s="49"/>
      <c r="I65" s="49"/>
      <c r="J65" s="49"/>
      <c r="K65" s="49"/>
      <c r="L65" s="192" t="e">
        <f>L67+L68+L69</f>
        <v>#DIV/0!</v>
      </c>
      <c r="M65" s="74" t="e">
        <f t="shared" si="3"/>
        <v>#DIV/0!</v>
      </c>
      <c r="N65" s="36"/>
      <c r="O65" s="32"/>
    </row>
    <row r="66" spans="2:15" s="160" customFormat="1" ht="15" hidden="1" customHeight="1">
      <c r="B66" s="99" t="s">
        <v>87</v>
      </c>
      <c r="C66" s="194"/>
      <c r="D66" s="194"/>
      <c r="E66" s="194"/>
      <c r="F66" s="194"/>
      <c r="G66" s="49">
        <f t="shared" si="2"/>
        <v>0</v>
      </c>
      <c r="H66" s="49"/>
      <c r="I66" s="49"/>
      <c r="J66" s="49"/>
      <c r="K66" s="49"/>
      <c r="L66" s="193" t="e">
        <f>G66/$N$9</f>
        <v>#DIV/0!</v>
      </c>
      <c r="M66" s="74" t="e">
        <f t="shared" si="3"/>
        <v>#DIV/0!</v>
      </c>
      <c r="N66" s="36"/>
      <c r="O66" s="32"/>
    </row>
    <row r="67" spans="2:15" s="160" customFormat="1" ht="15" hidden="1" customHeight="1">
      <c r="B67" s="99" t="s">
        <v>88</v>
      </c>
      <c r="C67" s="93"/>
      <c r="D67" s="93"/>
      <c r="E67" s="93"/>
      <c r="F67" s="93"/>
      <c r="G67" s="49">
        <f t="shared" si="2"/>
        <v>0</v>
      </c>
      <c r="H67" s="49"/>
      <c r="I67" s="49"/>
      <c r="J67" s="49"/>
      <c r="K67" s="49"/>
      <c r="L67" s="193" t="e">
        <f>G67/$N$9</f>
        <v>#DIV/0!</v>
      </c>
      <c r="M67" s="74" t="e">
        <f t="shared" si="3"/>
        <v>#DIV/0!</v>
      </c>
      <c r="N67" s="36"/>
      <c r="O67" s="32"/>
    </row>
    <row r="68" spans="2:15" s="122" customFormat="1" ht="15" hidden="1" customHeight="1">
      <c r="B68" s="99" t="s">
        <v>89</v>
      </c>
      <c r="C68" s="93"/>
      <c r="D68" s="93"/>
      <c r="E68" s="93"/>
      <c r="F68" s="93"/>
      <c r="G68" s="49">
        <f t="shared" si="2"/>
        <v>0</v>
      </c>
      <c r="H68" s="49"/>
      <c r="I68" s="49"/>
      <c r="J68" s="49"/>
      <c r="K68" s="49"/>
      <c r="L68" s="193" t="e">
        <f>G68/$N$9</f>
        <v>#DIV/0!</v>
      </c>
      <c r="M68" s="74" t="e">
        <f t="shared" si="3"/>
        <v>#DIV/0!</v>
      </c>
      <c r="N68" s="18"/>
      <c r="O68" s="19"/>
    </row>
    <row r="69" spans="2:15" s="122" customFormat="1" ht="15" hidden="1" customHeight="1">
      <c r="B69" s="99" t="s">
        <v>90</v>
      </c>
      <c r="C69" s="93"/>
      <c r="D69" s="93"/>
      <c r="E69" s="93"/>
      <c r="F69" s="93"/>
      <c r="G69" s="49">
        <f t="shared" si="2"/>
        <v>0</v>
      </c>
      <c r="H69" s="49">
        <f>SUM(H70:H75)</f>
        <v>0</v>
      </c>
      <c r="I69" s="49">
        <f>SUM(I70:I75)</f>
        <v>0</v>
      </c>
      <c r="J69" s="49">
        <f>SUM(J70:J75)</f>
        <v>0</v>
      </c>
      <c r="K69" s="49">
        <f>SUM(K70:K75)</f>
        <v>0</v>
      </c>
      <c r="L69" s="177" t="e">
        <f>SUM(L70:L75)</f>
        <v>#DIV/0!</v>
      </c>
      <c r="M69" s="74" t="e">
        <f t="shared" si="3"/>
        <v>#DIV/0!</v>
      </c>
      <c r="N69" s="18"/>
      <c r="O69" s="19"/>
    </row>
    <row r="70" spans="2:15" s="122" customFormat="1" ht="15" hidden="1" customHeight="1">
      <c r="B70" s="195" t="s">
        <v>91</v>
      </c>
      <c r="C70" s="196"/>
      <c r="D70" s="196"/>
      <c r="E70" s="196"/>
      <c r="F70" s="197"/>
      <c r="G70" s="49">
        <f t="shared" si="2"/>
        <v>0</v>
      </c>
      <c r="H70" s="49"/>
      <c r="I70" s="49"/>
      <c r="J70" s="49"/>
      <c r="K70" s="49"/>
      <c r="L70" s="165" t="e">
        <f>M70</f>
        <v>#DIV/0!</v>
      </c>
      <c r="M70" s="74" t="e">
        <f t="shared" si="3"/>
        <v>#DIV/0!</v>
      </c>
      <c r="N70" s="18"/>
      <c r="O70" s="19"/>
    </row>
    <row r="71" spans="2:15" s="122" customFormat="1" ht="16.5" hidden="1" customHeight="1">
      <c r="B71" s="144" t="s">
        <v>92</v>
      </c>
      <c r="C71" s="161"/>
      <c r="D71" s="161"/>
      <c r="E71" s="161"/>
      <c r="F71" s="198"/>
      <c r="G71" s="153">
        <f t="shared" si="2"/>
        <v>0</v>
      </c>
      <c r="H71" s="49"/>
      <c r="I71" s="49"/>
      <c r="J71" s="49"/>
      <c r="K71" s="49"/>
      <c r="L71" s="106" t="e">
        <f>M71</f>
        <v>#DIV/0!</v>
      </c>
      <c r="M71" s="74" t="e">
        <f t="shared" si="3"/>
        <v>#DIV/0!</v>
      </c>
      <c r="N71" s="18"/>
      <c r="O71" s="19"/>
    </row>
    <row r="72" spans="2:15" s="122" customFormat="1" ht="15" hidden="1" customHeight="1">
      <c r="B72" s="144" t="s">
        <v>93</v>
      </c>
      <c r="C72" s="161"/>
      <c r="D72" s="161"/>
      <c r="E72" s="161"/>
      <c r="F72" s="198"/>
      <c r="G72" s="49">
        <f>+H72+I72+J72+K72</f>
        <v>0</v>
      </c>
      <c r="H72" s="49"/>
      <c r="I72" s="49"/>
      <c r="J72" s="49"/>
      <c r="K72" s="49"/>
      <c r="L72" s="199" t="e">
        <f>L20-L71-L26</f>
        <v>#DIV/0!</v>
      </c>
      <c r="M72" s="17" t="e">
        <f>G75/$N$9</f>
        <v>#DIV/0!</v>
      </c>
      <c r="N72" s="18"/>
      <c r="O72" s="19"/>
    </row>
    <row r="73" spans="2:15" s="122" customFormat="1" ht="15" hidden="1" customHeight="1">
      <c r="B73" s="99" t="s">
        <v>94</v>
      </c>
      <c r="C73" s="93"/>
      <c r="D73" s="93"/>
      <c r="E73" s="93"/>
      <c r="F73" s="200"/>
      <c r="G73" s="49">
        <f>SUM(H73:K73)</f>
        <v>0</v>
      </c>
      <c r="H73" s="49"/>
      <c r="I73" s="49"/>
      <c r="J73" s="49"/>
      <c r="K73" s="49"/>
      <c r="L73" s="193" t="e">
        <f>M73</f>
        <v>#DIV/0!</v>
      </c>
      <c r="M73" s="17" t="e">
        <f>G73/$N$9</f>
        <v>#DIV/0!</v>
      </c>
      <c r="N73" s="18"/>
      <c r="O73" s="19"/>
    </row>
    <row r="74" spans="2:15" s="122" customFormat="1" ht="15" hidden="1" customHeight="1">
      <c r="B74" s="99" t="s">
        <v>95</v>
      </c>
      <c r="C74" s="93"/>
      <c r="D74" s="93"/>
      <c r="E74" s="93"/>
      <c r="F74" s="200"/>
      <c r="G74" s="49">
        <f>SUM(H74:K74)</f>
        <v>0</v>
      </c>
      <c r="H74" s="49"/>
      <c r="I74" s="49"/>
      <c r="J74" s="49"/>
      <c r="K74" s="49"/>
      <c r="L74" s="119">
        <f>M74</f>
        <v>0</v>
      </c>
      <c r="M74" s="17"/>
      <c r="N74" s="18"/>
      <c r="O74" s="19"/>
    </row>
    <row r="75" spans="2:15" s="122" customFormat="1" ht="15" hidden="1" customHeight="1">
      <c r="B75" s="99" t="s">
        <v>96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93">
        <f>M75</f>
        <v>0</v>
      </c>
      <c r="M75" s="17"/>
      <c r="N75" s="18"/>
      <c r="O75" s="19"/>
    </row>
    <row r="76" spans="2:15" s="128" customFormat="1" ht="15" hidden="1" customHeight="1">
      <c r="B76" s="170" t="s">
        <v>97</v>
      </c>
      <c r="C76" s="171"/>
      <c r="D76" s="171"/>
      <c r="E76" s="171"/>
      <c r="F76" s="171"/>
      <c r="G76" s="49">
        <f>SUM(H76:K76)</f>
        <v>0</v>
      </c>
      <c r="H76" s="49"/>
      <c r="I76" s="49"/>
      <c r="J76" s="49"/>
      <c r="K76" s="49"/>
      <c r="L76" s="119">
        <f>G76/7296</f>
        <v>0</v>
      </c>
      <c r="M76" s="17">
        <f>G76/7296</f>
        <v>0</v>
      </c>
      <c r="N76" s="149"/>
      <c r="O76" s="134"/>
    </row>
    <row r="77" spans="2:15" ht="36.75" customHeight="1">
      <c r="B77" s="23" t="s">
        <v>98</v>
      </c>
      <c r="C77" s="23"/>
      <c r="D77" s="23"/>
      <c r="E77" s="201"/>
      <c r="F77" s="23" t="s">
        <v>99</v>
      </c>
      <c r="G77" s="202"/>
      <c r="H77" s="20"/>
      <c r="I77" s="51"/>
      <c r="J77" s="20"/>
      <c r="K77" s="20"/>
      <c r="L77" s="203"/>
    </row>
    <row r="78" spans="2:15" ht="24.75" customHeight="1">
      <c r="B78" s="19" t="s">
        <v>100</v>
      </c>
      <c r="C78" s="19"/>
      <c r="D78" s="19"/>
      <c r="E78" s="204"/>
      <c r="F78" s="205" t="s">
        <v>196</v>
      </c>
      <c r="G78" s="206"/>
      <c r="H78" s="20"/>
      <c r="I78" s="20"/>
      <c r="J78" s="20"/>
      <c r="K78" s="20"/>
      <c r="L78" s="207" t="e">
        <f>L20-L22-L27-L28-L29-L42-L43-L48-L54-L58</f>
        <v>#DIV/0!</v>
      </c>
    </row>
    <row r="79" spans="2:15" ht="24.75" customHeight="1">
      <c r="B79" s="19"/>
      <c r="C79" s="19"/>
      <c r="D79" s="19"/>
      <c r="E79" s="19"/>
      <c r="F79" s="19"/>
      <c r="G79" s="20"/>
      <c r="H79" s="20"/>
      <c r="I79" s="20"/>
      <c r="J79" s="20"/>
      <c r="K79" s="208"/>
      <c r="L79" s="207"/>
    </row>
    <row r="80" spans="2:15" ht="24.75" hidden="1" customHeight="1">
      <c r="B80" s="19"/>
      <c r="C80" s="19"/>
      <c r="D80" s="19"/>
      <c r="E80" s="19"/>
      <c r="F80" s="19"/>
      <c r="G80" s="20"/>
      <c r="H80" s="20"/>
      <c r="I80" s="20"/>
      <c r="J80" s="20"/>
      <c r="K80" s="208"/>
      <c r="L80" s="207"/>
    </row>
    <row r="81" spans="2:13" ht="18.75" customHeight="1">
      <c r="B81" s="19"/>
      <c r="C81" s="19"/>
      <c r="D81" s="19"/>
      <c r="E81" s="52"/>
      <c r="F81" s="209"/>
      <c r="H81" s="209"/>
      <c r="I81" s="210"/>
      <c r="J81" s="20"/>
      <c r="K81" s="20"/>
    </row>
    <row r="82" spans="2:13" ht="12.75" customHeight="1">
      <c r="I82" s="210"/>
      <c r="J82" s="20"/>
      <c r="K82" s="20"/>
    </row>
    <row r="83" spans="2:13" ht="18.75" customHeight="1">
      <c r="I83" s="210"/>
      <c r="J83" s="20"/>
      <c r="K83" s="20"/>
    </row>
    <row r="84" spans="2:13" ht="12.75" customHeight="1">
      <c r="I84" s="210"/>
      <c r="L84" s="211" t="e">
        <f>L22+L27+L29+L43+L48+L54+L58+L28+L24</f>
        <v>#DIV/0!</v>
      </c>
      <c r="M84" s="212" t="e">
        <f>M22+M27+M29+M43+M48+M54+M58+M28+M24</f>
        <v>#DIV/0!</v>
      </c>
    </row>
    <row r="85" spans="2:13" ht="12.75" customHeight="1">
      <c r="I85" s="210"/>
    </row>
    <row r="86" spans="2:13" ht="12.75" customHeight="1">
      <c r="C86" s="213"/>
      <c r="L86" s="214"/>
    </row>
    <row r="87" spans="2:13" ht="12.75" customHeight="1">
      <c r="I87" s="210"/>
    </row>
    <row r="88" spans="2:13" ht="12.75" customHeight="1">
      <c r="I88" s="210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</sheetData>
  <mergeCells count="7">
    <mergeCell ref="B49:D49"/>
    <mergeCell ref="B2:K2"/>
    <mergeCell ref="B3:K3"/>
    <mergeCell ref="P3:S3"/>
    <mergeCell ref="H18:I18"/>
    <mergeCell ref="J18:K18"/>
    <mergeCell ref="N18:N19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2:IW20"/>
  <sheetViews>
    <sheetView view="pageBreakPreview" zoomScale="80" zoomScaleNormal="100" zoomScalePageLayoutView="80" workbookViewId="0">
      <selection activeCell="C26" sqref="C26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6.5703125" style="19" customWidth="1"/>
    <col min="4" max="4" width="20.42578125" style="19" customWidth="1"/>
    <col min="5" max="5" width="4.5703125" style="19" customWidth="1"/>
    <col min="6" max="6" width="15" style="19" customWidth="1"/>
    <col min="7" max="7" width="9.140625" style="19"/>
    <col min="8" max="8" width="9.42578125" style="19" customWidth="1"/>
    <col min="9" max="257" width="9.140625" style="19"/>
  </cols>
  <sheetData>
    <row r="2" spans="2:7" ht="35.25" customHeight="1">
      <c r="B2" s="8" t="str">
        <f>' (смета)'!C4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 ht="15" customHeight="1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 ht="23.25" customHeight="1">
      <c r="B7" s="33"/>
      <c r="C7" s="217" t="str">
        <f>калькуляция!C10</f>
        <v>"Весёлый карандаш 6-8 лет"</v>
      </c>
      <c r="D7" s="218"/>
      <c r="E7" s="215"/>
    </row>
    <row r="8" spans="2:7" s="32" customFormat="1">
      <c r="B8" s="219" t="s">
        <v>103</v>
      </c>
      <c r="C8" s="220"/>
      <c r="D8" s="220"/>
      <c r="E8" s="221"/>
    </row>
    <row r="9" spans="2:7" ht="33" customHeight="1">
      <c r="B9" s="222" t="s">
        <v>104</v>
      </c>
      <c r="C9" s="223" t="s">
        <v>105</v>
      </c>
      <c r="D9" s="223" t="s">
        <v>106</v>
      </c>
      <c r="E9" s="224"/>
      <c r="F9" s="18" t="s">
        <v>107</v>
      </c>
      <c r="G9" s="18" t="s">
        <v>108</v>
      </c>
    </row>
    <row r="10" spans="2:7" ht="23.25" customHeight="1">
      <c r="B10" s="223">
        <v>1</v>
      </c>
      <c r="C10" s="225" t="s">
        <v>109</v>
      </c>
      <c r="D10" s="226">
        <f>(' (смета)'!G27/9)/29.3*F10</f>
        <v>2774.4137399537594</v>
      </c>
      <c r="E10" s="227"/>
      <c r="F10" s="228">
        <f>42/12*9</f>
        <v>31.5</v>
      </c>
      <c r="G10" s="228">
        <f>F10/9</f>
        <v>3.5</v>
      </c>
    </row>
    <row r="11" spans="2:7" ht="33" customHeight="1">
      <c r="B11" s="223">
        <v>2</v>
      </c>
      <c r="C11" s="229" t="s">
        <v>110</v>
      </c>
      <c r="D11" s="230">
        <f>D10*30.2%</f>
        <v>837.87294946603538</v>
      </c>
      <c r="E11" s="231"/>
    </row>
    <row r="12" spans="2:7" ht="33" hidden="1" customHeight="1">
      <c r="B12" s="223">
        <v>3</v>
      </c>
      <c r="C12" s="229" t="s">
        <v>111</v>
      </c>
      <c r="D12" s="230"/>
      <c r="E12" s="231"/>
    </row>
    <row r="13" spans="2:7" ht="54" customHeight="1">
      <c r="B13" s="223">
        <v>3</v>
      </c>
      <c r="C13" s="229" t="s">
        <v>112</v>
      </c>
      <c r="D13" s="230">
        <f>D10+D11-D12</f>
        <v>3612.286689419795</v>
      </c>
      <c r="E13" s="231"/>
    </row>
    <row r="14" spans="2:7" ht="33" customHeight="1">
      <c r="B14" s="223">
        <v>4</v>
      </c>
      <c r="C14" s="229" t="s">
        <v>113</v>
      </c>
      <c r="D14" s="232">
        <f>' (смета)'!G27-D10</f>
        <v>20451.392711659144</v>
      </c>
      <c r="E14" s="227"/>
    </row>
    <row r="15" spans="2:7" ht="33" customHeight="1">
      <c r="B15" s="223">
        <v>5</v>
      </c>
      <c r="C15" s="229" t="s">
        <v>114</v>
      </c>
      <c r="D15" s="230">
        <f>D14*30.2%</f>
        <v>6176.320598921061</v>
      </c>
      <c r="E15" s="231"/>
    </row>
    <row r="16" spans="2:7" ht="33" customHeight="1">
      <c r="B16" s="223">
        <v>6</v>
      </c>
      <c r="C16" s="229" t="s">
        <v>115</v>
      </c>
      <c r="D16" s="230">
        <f>D14+D15</f>
        <v>26627.713310580206</v>
      </c>
      <c r="E16" s="231"/>
    </row>
    <row r="17" spans="2:6" ht="33" customHeight="1">
      <c r="B17" s="223">
        <v>7</v>
      </c>
      <c r="C17" s="229" t="s">
        <v>116</v>
      </c>
      <c r="D17" s="233">
        <f>D13/D16</f>
        <v>0.13565891472868216</v>
      </c>
      <c r="E17" s="234"/>
      <c r="F17" s="77"/>
    </row>
    <row r="18" spans="2:6" ht="49.5" customHeight="1">
      <c r="B18" s="223">
        <v>8</v>
      </c>
      <c r="C18" s="229" t="s">
        <v>117</v>
      </c>
      <c r="D18" s="235" t="s">
        <v>118</v>
      </c>
      <c r="E18" s="236"/>
    </row>
    <row r="20" spans="2:6">
      <c r="B20" s="19" t="s">
        <v>119</v>
      </c>
      <c r="D20" s="20" t="str">
        <f>' (смета)'!F82</f>
        <v>А.Р. Саттарова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scale="97" orientation="portrait" horizontalDpi="300" verticalDpi="300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80" zoomScaleNormal="100" zoomScalePageLayoutView="80" workbookViewId="0">
      <selection activeCell="K28" sqref="K28"/>
    </sheetView>
  </sheetViews>
  <sheetFormatPr defaultColWidth="9" defaultRowHeight="12.7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3" zoomScale="80" zoomScaleNormal="100" zoomScalePageLayoutView="80" workbookViewId="0">
      <selection activeCell="F43" sqref="F43"/>
    </sheetView>
  </sheetViews>
  <sheetFormatPr defaultColWidth="9" defaultRowHeight="12.7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80" zoomScaleNormal="100" zoomScalePageLayoutView="80" workbookViewId="0"/>
  </sheetViews>
  <sheetFormatPr defaultColWidth="9" defaultRowHeight="12.7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>
  <dimension ref="A2:IW22"/>
  <sheetViews>
    <sheetView view="pageBreakPreview" zoomScale="80" zoomScaleNormal="100" zoomScalePageLayoutView="80" workbookViewId="0">
      <selection activeCell="B23" sqref="B23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hidden="1" customWidth="1"/>
    <col min="5" max="5" width="15.28515625" style="19" hidden="1" customWidth="1"/>
    <col min="6" max="6" width="9.140625" style="19" hidden="1"/>
    <col min="7" max="7" width="9.85546875" style="19" hidden="1" customWidth="1"/>
    <col min="8" max="8" width="9.42578125" style="19" hidden="1" customWidth="1"/>
    <col min="9" max="9" width="9.140625" style="19" hidden="1"/>
    <col min="10" max="10" width="18.42578125" style="19" customWidth="1"/>
    <col min="11" max="11" width="14.85546875" style="19" customWidth="1"/>
    <col min="12" max="257" width="9.140625" style="19"/>
  </cols>
  <sheetData>
    <row r="2" spans="2:12">
      <c r="B2" s="8" t="str">
        <f>' (смета) (6)'!C4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12">
      <c r="B3" s="7" t="str">
        <f>' (смета) (6)'!C5</f>
        <v>"Центр дополнительного образования детей им.В.Волошиной"</v>
      </c>
      <c r="C3" s="7"/>
      <c r="D3" s="7"/>
      <c r="E3" s="215"/>
    </row>
    <row r="4" spans="2:12">
      <c r="C4" s="42"/>
    </row>
    <row r="5" spans="2:12">
      <c r="B5" s="6" t="s">
        <v>102</v>
      </c>
      <c r="C5" s="6"/>
      <c r="D5" s="6"/>
      <c r="E5" s="216"/>
    </row>
    <row r="6" spans="2:12">
      <c r="B6" s="216"/>
      <c r="C6" s="216"/>
      <c r="D6" s="216"/>
      <c r="E6" s="216"/>
    </row>
    <row r="7" spans="2:12" ht="15.75" customHeight="1">
      <c r="B7" s="273"/>
      <c r="C7" s="273" t="s">
        <v>197</v>
      </c>
      <c r="D7" s="273"/>
      <c r="E7" s="215"/>
    </row>
    <row r="8" spans="2:12" s="32" customFormat="1">
      <c r="B8" s="274"/>
      <c r="C8" s="274"/>
      <c r="D8" s="274"/>
      <c r="E8" s="221"/>
    </row>
    <row r="9" spans="2:12" s="32" customFormat="1">
      <c r="B9" s="274"/>
      <c r="C9" s="274"/>
      <c r="D9" s="274"/>
      <c r="E9" s="221"/>
    </row>
    <row r="10" spans="2:12" ht="33" customHeight="1">
      <c r="B10" s="222" t="s">
        <v>104</v>
      </c>
      <c r="C10" s="223" t="s">
        <v>105</v>
      </c>
      <c r="D10" s="223" t="s">
        <v>106</v>
      </c>
      <c r="E10" s="223" t="s">
        <v>106</v>
      </c>
      <c r="F10" s="60" t="s">
        <v>106</v>
      </c>
      <c r="G10" s="60" t="s">
        <v>106</v>
      </c>
      <c r="H10" s="245" t="s">
        <v>106</v>
      </c>
      <c r="I10" s="245" t="s">
        <v>106</v>
      </c>
      <c r="J10" s="245"/>
    </row>
    <row r="11" spans="2:12" ht="23.25" customHeight="1">
      <c r="B11" s="223">
        <v>1</v>
      </c>
      <c r="C11" s="225" t="s">
        <v>109</v>
      </c>
      <c r="D11" s="277">
        <f>'резерв отпускных'!D10+'резерв отпускных (2)'!D10+'резерв отпускных (3)'!D10+'резерв отпускных (4)'!D11+'резерв отпускных (5)'!D10+'резерв отпускных (6)'!D11</f>
        <v>82615.875811956401</v>
      </c>
      <c r="E11" s="278">
        <v>157461.29</v>
      </c>
      <c r="F11" s="252">
        <v>6644.07</v>
      </c>
      <c r="G11" s="252">
        <v>46816</v>
      </c>
      <c r="H11" s="245"/>
      <c r="I11" s="245"/>
      <c r="J11" s="279">
        <f t="shared" ref="J11:J17" si="0">SUM(D11:I11)</f>
        <v>293537.2358119564</v>
      </c>
      <c r="K11" s="280"/>
    </row>
    <row r="12" spans="2:12" ht="33" customHeight="1">
      <c r="B12" s="223">
        <v>2</v>
      </c>
      <c r="C12" s="229" t="s">
        <v>110</v>
      </c>
      <c r="D12" s="277">
        <f>'резерв отпускных'!D11+'резерв отпускных (2)'!D11+'резерв отпускных (3)'!D11+'резерв отпускных (4)'!D12+'резерв отпускных (5)'!D11+'резерв отпускных (6)'!D12</f>
        <v>24947.994495210831</v>
      </c>
      <c r="E12" s="230">
        <v>47553.31</v>
      </c>
      <c r="F12" s="245">
        <v>2006.51</v>
      </c>
      <c r="G12" s="245">
        <v>14138.44</v>
      </c>
      <c r="H12" s="245"/>
      <c r="I12" s="245"/>
      <c r="J12" s="279">
        <f t="shared" si="0"/>
        <v>88646.254495210829</v>
      </c>
    </row>
    <row r="13" spans="2:12" ht="33" hidden="1" customHeight="1">
      <c r="B13" s="223">
        <v>3</v>
      </c>
      <c r="C13" s="229" t="s">
        <v>111</v>
      </c>
      <c r="D13" s="277">
        <f>'резерв отпускных'!D12+'резерв отпускных (2)'!D12+'резерв отпускных (3)'!D12+'резерв отпускных (4)'!D13+'резерв отпускных (5)'!D12+'резерв отпускных (6)'!D13</f>
        <v>0</v>
      </c>
      <c r="E13" s="230"/>
      <c r="F13" s="245"/>
      <c r="G13" s="245">
        <v>0</v>
      </c>
      <c r="H13" s="245"/>
      <c r="I13" s="245"/>
      <c r="J13" s="279">
        <f t="shared" si="0"/>
        <v>0</v>
      </c>
    </row>
    <row r="14" spans="2:12" ht="54" customHeight="1">
      <c r="B14" s="223">
        <v>3</v>
      </c>
      <c r="C14" s="229" t="s">
        <v>112</v>
      </c>
      <c r="D14" s="277">
        <f>'резерв отпускных'!D13+'резерв отпускных (2)'!D13+'резерв отпускных (3)'!D13+'резерв отпускных (4)'!D14+'резерв отпускных (5)'!D13+'резерв отпускных (6)'!D14</f>
        <v>107563.87030716724</v>
      </c>
      <c r="E14" s="230">
        <v>205014.61</v>
      </c>
      <c r="F14" s="245">
        <v>8650.58</v>
      </c>
      <c r="G14" s="245">
        <v>60954.44</v>
      </c>
      <c r="H14" s="245"/>
      <c r="I14" s="245"/>
      <c r="J14" s="279">
        <f t="shared" si="0"/>
        <v>382183.50030716724</v>
      </c>
    </row>
    <row r="15" spans="2:12" ht="33" customHeight="1">
      <c r="B15" s="223">
        <v>4</v>
      </c>
      <c r="C15" s="229" t="s">
        <v>113</v>
      </c>
      <c r="D15" s="277">
        <f>'резерв отпускных'!D14+'резерв отпускных (2)'!D14+'резерв отпускных (3)'!D14+'резерв отпускных (4)'!D15+'резерв отпускных (5)'!D14+'резерв отпускных (6)'!D15</f>
        <v>608997.02741385007</v>
      </c>
      <c r="E15" s="278">
        <v>1160714.3500000001</v>
      </c>
      <c r="F15" s="245">
        <v>48976.28</v>
      </c>
      <c r="G15" s="245">
        <v>345100.82</v>
      </c>
      <c r="H15" s="245"/>
      <c r="I15" s="245"/>
      <c r="J15" s="279">
        <f t="shared" si="0"/>
        <v>2163788.4774138504</v>
      </c>
    </row>
    <row r="16" spans="2:12" ht="33" customHeight="1">
      <c r="B16" s="223">
        <v>5</v>
      </c>
      <c r="C16" s="229" t="s">
        <v>114</v>
      </c>
      <c r="D16" s="277">
        <f>'резерв отпускных'!D15+'резерв отпускных (2)'!D15+'резерв отпускных (3)'!D15+'резерв отпускных (4)'!D16+'резерв отпускных (5)'!D15+'резерв отпускных (6)'!D16</f>
        <v>183914.10227898273</v>
      </c>
      <c r="E16" s="230">
        <v>350535.75</v>
      </c>
      <c r="F16" s="245">
        <v>14790.84</v>
      </c>
      <c r="G16" s="245">
        <v>104220.45</v>
      </c>
      <c r="H16" s="245"/>
      <c r="I16" s="245"/>
      <c r="J16" s="279">
        <f t="shared" si="0"/>
        <v>653461.14227898268</v>
      </c>
      <c r="K16" s="280"/>
      <c r="L16" s="280"/>
    </row>
    <row r="17" spans="2:10" ht="33" customHeight="1">
      <c r="B17" s="223">
        <v>6</v>
      </c>
      <c r="C17" s="229" t="s">
        <v>115</v>
      </c>
      <c r="D17" s="277">
        <f>'резерв отпускных'!D16+'резерв отпускных (2)'!D16+'резерв отпускных (3)'!D16+'резерв отпускных (4)'!D17+'резерв отпускных (5)'!D16+'резерв отпускных (6)'!D17</f>
        <v>792911.12969283282</v>
      </c>
      <c r="E17" s="230">
        <v>1511250.1</v>
      </c>
      <c r="F17" s="245">
        <v>63767.12</v>
      </c>
      <c r="G17" s="245">
        <v>449321.27</v>
      </c>
      <c r="H17" s="245"/>
      <c r="I17" s="245"/>
      <c r="J17" s="279">
        <f t="shared" si="0"/>
        <v>2817249.6196928332</v>
      </c>
    </row>
    <row r="18" spans="2:10" ht="33" customHeight="1">
      <c r="B18" s="223">
        <v>7</v>
      </c>
      <c r="C18" s="229" t="s">
        <v>116</v>
      </c>
      <c r="D18" s="281">
        <f t="shared" ref="D18:I18" si="1">D14/D17</f>
        <v>0.1356569056469627</v>
      </c>
      <c r="E18" s="281">
        <f t="shared" si="1"/>
        <v>0.1356589554568102</v>
      </c>
      <c r="F18" s="281">
        <f t="shared" si="1"/>
        <v>0.13565894147328592</v>
      </c>
      <c r="G18" s="281">
        <f t="shared" si="1"/>
        <v>0.13565892395879678</v>
      </c>
      <c r="H18" s="281" t="e">
        <f t="shared" si="1"/>
        <v>#DIV/0!</v>
      </c>
      <c r="I18" s="281" t="e">
        <f t="shared" si="1"/>
        <v>#DIV/0!</v>
      </c>
      <c r="J18" s="282">
        <v>0.13569999999999999</v>
      </c>
    </row>
    <row r="19" spans="2:10" ht="49.5" customHeight="1">
      <c r="B19" s="223">
        <v>8</v>
      </c>
      <c r="C19" s="229" t="s">
        <v>117</v>
      </c>
      <c r="D19" s="235" t="s">
        <v>118</v>
      </c>
      <c r="E19" s="235" t="s">
        <v>118</v>
      </c>
      <c r="F19" s="245" t="s">
        <v>118</v>
      </c>
      <c r="G19" s="245" t="s">
        <v>118</v>
      </c>
      <c r="H19" s="245" t="s">
        <v>118</v>
      </c>
      <c r="I19" s="245" t="s">
        <v>118</v>
      </c>
      <c r="J19" s="235" t="s">
        <v>118</v>
      </c>
    </row>
    <row r="22" spans="2:10">
      <c r="B22" s="19" t="s">
        <v>198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80" zoomScaleNormal="100" zoomScalePageLayoutView="80" workbookViewId="0"/>
  </sheetViews>
  <sheetFormatPr defaultColWidth="9" defaultRowHeight="12.7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>
  <dimension ref="A2:IW21"/>
  <sheetViews>
    <sheetView view="pageBreakPreview" zoomScale="80" zoomScaleNormal="100" zoomScalePageLayoutView="80" workbookViewId="0">
      <selection activeCell="D18" sqref="D18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22.28515625" style="19" customWidth="1"/>
    <col min="6" max="6" width="14.85546875" style="19" customWidth="1"/>
    <col min="7" max="7" width="9.140625" style="19"/>
    <col min="8" max="8" width="9.42578125" style="19" customWidth="1"/>
    <col min="9" max="257" width="9.140625" style="19"/>
  </cols>
  <sheetData>
    <row r="2" spans="2:7">
      <c r="B2" s="8" t="str">
        <f>' (смета) (6)'!C4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 (6)'!C5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'калькуляция (6)'!B13</f>
        <v xml:space="preserve">                 На  2024-2025 учебный год  (сентябрь -июнь)</v>
      </c>
      <c r="D6" s="216"/>
      <c r="E6" s="216"/>
    </row>
    <row r="7" spans="2:7" ht="15.75" customHeight="1">
      <c r="B7" s="273"/>
      <c r="C7" s="273"/>
      <c r="D7" s="273"/>
      <c r="E7" s="215"/>
    </row>
    <row r="8" spans="2:7" s="32" customFormat="1">
      <c r="B8" s="274"/>
      <c r="C8" s="274" t="s">
        <v>195</v>
      </c>
      <c r="D8" s="274"/>
      <c r="E8" s="221"/>
    </row>
    <row r="9" spans="2:7" s="32" customFormat="1">
      <c r="B9" s="274"/>
      <c r="C9" s="274"/>
      <c r="D9" s="274"/>
      <c r="E9" s="221"/>
    </row>
    <row r="10" spans="2:7" ht="33" customHeight="1">
      <c r="B10" s="222" t="s">
        <v>104</v>
      </c>
      <c r="C10" s="223" t="s">
        <v>105</v>
      </c>
      <c r="D10" s="223" t="s">
        <v>106</v>
      </c>
      <c r="E10" s="224"/>
      <c r="F10" s="18" t="s">
        <v>107</v>
      </c>
      <c r="G10" s="18" t="s">
        <v>108</v>
      </c>
    </row>
    <row r="11" spans="2:7" ht="23.25" customHeight="1">
      <c r="B11" s="223">
        <v>1</v>
      </c>
      <c r="C11" s="225" t="s">
        <v>109</v>
      </c>
      <c r="D11" s="226">
        <f>'резерв отпускных'!D10+'резерв отпускных (2)'!D10+'резерв отпускных (3)'!D10+'резерв отпускных (4)'!D11+'резерв отпускных (5)'!D10+'резерв отпускных (6)'!D11</f>
        <v>82615.875811956401</v>
      </c>
      <c r="E11" s="227"/>
      <c r="F11" s="228">
        <f>42/12*9</f>
        <v>31.5</v>
      </c>
      <c r="G11" s="228">
        <f>F11/9</f>
        <v>3.5</v>
      </c>
    </row>
    <row r="12" spans="2:7" ht="33" customHeight="1">
      <c r="B12" s="223">
        <v>2</v>
      </c>
      <c r="C12" s="229" t="s">
        <v>110</v>
      </c>
      <c r="D12" s="230">
        <f>D11*30.2%</f>
        <v>24949.994495210831</v>
      </c>
      <c r="E12" s="231"/>
      <c r="F12" s="19">
        <f>D11*0.302</f>
        <v>24949.994495210831</v>
      </c>
    </row>
    <row r="13" spans="2:7" ht="33" hidden="1" customHeight="1">
      <c r="B13" s="223">
        <v>3</v>
      </c>
      <c r="C13" s="229" t="s">
        <v>111</v>
      </c>
      <c r="D13" s="230"/>
      <c r="E13" s="231"/>
    </row>
    <row r="14" spans="2:7" ht="54" customHeight="1">
      <c r="B14" s="223">
        <v>3</v>
      </c>
      <c r="C14" s="229" t="s">
        <v>112</v>
      </c>
      <c r="D14" s="230">
        <f>D11+D12-D13</f>
        <v>107565.87030716724</v>
      </c>
      <c r="E14" s="231"/>
    </row>
    <row r="15" spans="2:7" ht="33" customHeight="1">
      <c r="B15" s="223">
        <v>4</v>
      </c>
      <c r="C15" s="229" t="s">
        <v>113</v>
      </c>
      <c r="D15" s="232">
        <f>'резерв отпускных'!D14+'резерв отпускных (2)'!D14+'резерв отпускных (3)'!D14+'резерв отпускных (4)'!D15+'резерв отпускных (5)'!D14+'резерв отпускных (6)'!D15</f>
        <v>608997.02741385007</v>
      </c>
      <c r="E15" s="227"/>
      <c r="F15" s="77">
        <f>D15*0.302</f>
        <v>183917.10227898273</v>
      </c>
    </row>
    <row r="16" spans="2:7" ht="33" customHeight="1">
      <c r="B16" s="223">
        <v>5</v>
      </c>
      <c r="C16" s="229" t="s">
        <v>114</v>
      </c>
      <c r="D16" s="230">
        <f>D15*30.2%</f>
        <v>183917.10227898273</v>
      </c>
      <c r="E16" s="231"/>
    </row>
    <row r="17" spans="2:5" ht="33" customHeight="1">
      <c r="B17" s="223">
        <v>6</v>
      </c>
      <c r="C17" s="229" t="s">
        <v>115</v>
      </c>
      <c r="D17" s="230">
        <f>D15+D16</f>
        <v>792914.12969283282</v>
      </c>
      <c r="E17" s="231"/>
    </row>
    <row r="18" spans="2:5" ht="33" customHeight="1">
      <c r="B18" s="223">
        <v>7</v>
      </c>
      <c r="C18" s="229" t="s">
        <v>116</v>
      </c>
      <c r="D18" s="233">
        <f>D14/D17</f>
        <v>0.13565891472868216</v>
      </c>
      <c r="E18" s="234"/>
    </row>
    <row r="19" spans="2:5" ht="49.5" customHeight="1">
      <c r="B19" s="223">
        <v>8</v>
      </c>
      <c r="C19" s="229" t="s">
        <v>117</v>
      </c>
      <c r="D19" s="235" t="s">
        <v>118</v>
      </c>
      <c r="E19" s="236"/>
    </row>
    <row r="21" spans="2:5">
      <c r="B21" s="19" t="s">
        <v>193</v>
      </c>
      <c r="D21" s="20" t="str">
        <f>'калькуляция (6)'!C51</f>
        <v>А.Р. Саттарова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scale="85" orientation="portrait" horizontalDpi="300" verticalDpi="300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2:IW20"/>
  <sheetViews>
    <sheetView view="pageBreakPreview" zoomScale="80" zoomScaleNormal="100" zoomScalePageLayoutView="80" workbookViewId="0">
      <selection activeCell="U15" sqref="U15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6.5703125" style="19" customWidth="1"/>
    <col min="4" max="4" width="20.42578125" style="19" customWidth="1"/>
    <col min="5" max="5" width="4.5703125" style="19" customWidth="1"/>
    <col min="6" max="6" width="15" style="19" customWidth="1"/>
    <col min="7" max="7" width="9.140625" style="19"/>
    <col min="8" max="8" width="9.42578125" style="19" customWidth="1"/>
    <col min="9" max="257" width="9.140625" style="19"/>
  </cols>
  <sheetData>
    <row r="2" spans="2:7" ht="35.25" customHeight="1">
      <c r="B2" s="8" t="str">
        <f>' (смета)'!C4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 ht="15" customHeight="1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 ht="23.25" customHeight="1">
      <c r="B7" s="33"/>
      <c r="C7" s="217" t="str">
        <f>калькуляция!C10</f>
        <v>"Весёлый карандаш 6-8 лет"</v>
      </c>
      <c r="D7" s="218"/>
      <c r="E7" s="215"/>
    </row>
    <row r="8" spans="2:7" s="32" customFormat="1">
      <c r="B8" s="219" t="s">
        <v>103</v>
      </c>
      <c r="C8" s="220"/>
      <c r="D8" s="220"/>
      <c r="E8" s="221"/>
    </row>
    <row r="9" spans="2:7" ht="33" customHeight="1">
      <c r="B9" s="222" t="s">
        <v>104</v>
      </c>
      <c r="C9" s="223" t="s">
        <v>105</v>
      </c>
      <c r="D9" s="223" t="s">
        <v>106</v>
      </c>
      <c r="E9" s="224"/>
      <c r="F9" s="18" t="s">
        <v>107</v>
      </c>
      <c r="G9" s="18" t="s">
        <v>108</v>
      </c>
    </row>
    <row r="10" spans="2:7" ht="23.25" customHeight="1">
      <c r="B10" s="223">
        <v>1</v>
      </c>
      <c r="C10" s="225" t="s">
        <v>109</v>
      </c>
      <c r="D10" s="226" t="e">
        <f>(#REF!/9)/29.3*F10</f>
        <v>#REF!</v>
      </c>
      <c r="E10" s="227"/>
      <c r="F10" s="228">
        <f>42/12*9</f>
        <v>31.5</v>
      </c>
      <c r="G10" s="228">
        <f>F10/9</f>
        <v>3.5</v>
      </c>
    </row>
    <row r="11" spans="2:7" ht="33" customHeight="1">
      <c r="B11" s="223">
        <v>2</v>
      </c>
      <c r="C11" s="229" t="s">
        <v>110</v>
      </c>
      <c r="D11" s="230" t="e">
        <f>D10*30.2%</f>
        <v>#REF!</v>
      </c>
      <c r="E11" s="231"/>
    </row>
    <row r="12" spans="2:7" ht="33" hidden="1" customHeight="1">
      <c r="B12" s="223">
        <v>3</v>
      </c>
      <c r="C12" s="229" t="s">
        <v>111</v>
      </c>
      <c r="D12" s="230"/>
      <c r="E12" s="231"/>
    </row>
    <row r="13" spans="2:7" ht="54" customHeight="1">
      <c r="B13" s="223">
        <v>3</v>
      </c>
      <c r="C13" s="229" t="s">
        <v>112</v>
      </c>
      <c r="D13" s="230" t="e">
        <f>D10+D11-D12</f>
        <v>#REF!</v>
      </c>
      <c r="E13" s="231"/>
    </row>
    <row r="14" spans="2:7" ht="33" customHeight="1">
      <c r="B14" s="223">
        <v>4</v>
      </c>
      <c r="C14" s="229" t="s">
        <v>113</v>
      </c>
      <c r="D14" s="232" t="e">
        <f>#REF!-D10</f>
        <v>#REF!</v>
      </c>
      <c r="E14" s="227"/>
    </row>
    <row r="15" spans="2:7" ht="33" customHeight="1">
      <c r="B15" s="223">
        <v>5</v>
      </c>
      <c r="C15" s="229" t="s">
        <v>114</v>
      </c>
      <c r="D15" s="230" t="e">
        <f>D14*30.2%</f>
        <v>#REF!</v>
      </c>
      <c r="E15" s="231"/>
    </row>
    <row r="16" spans="2:7" ht="33" customHeight="1">
      <c r="B16" s="223">
        <v>6</v>
      </c>
      <c r="C16" s="229" t="s">
        <v>115</v>
      </c>
      <c r="D16" s="230" t="e">
        <f>D14+D15</f>
        <v>#REF!</v>
      </c>
      <c r="E16" s="231"/>
    </row>
    <row r="17" spans="2:6" ht="33" customHeight="1">
      <c r="B17" s="223">
        <v>7</v>
      </c>
      <c r="C17" s="229" t="s">
        <v>116</v>
      </c>
      <c r="D17" s="233" t="e">
        <f>D13/D16</f>
        <v>#REF!</v>
      </c>
      <c r="E17" s="234"/>
      <c r="F17" s="77"/>
    </row>
    <row r="18" spans="2:6" ht="49.5" customHeight="1">
      <c r="B18" s="223">
        <v>8</v>
      </c>
      <c r="C18" s="229" t="s">
        <v>117</v>
      </c>
      <c r="D18" s="235" t="s">
        <v>118</v>
      </c>
      <c r="E18" s="236"/>
    </row>
    <row r="20" spans="2:6">
      <c r="B20" s="19" t="s">
        <v>119</v>
      </c>
      <c r="D20" s="20" t="str">
        <f>' (смета)'!F82</f>
        <v>А.Р. Саттарова</v>
      </c>
    </row>
  </sheetData>
  <mergeCells count="3">
    <mergeCell ref="B2:D2"/>
    <mergeCell ref="B3:D3"/>
    <mergeCell ref="B5:D5"/>
  </mergeCells>
  <pageMargins left="0.7" right="0.7" top="0.75" bottom="0.75" header="0.511811023622047" footer="0.511811023622047"/>
  <pageSetup paperSize="9" scale="97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W53"/>
  <sheetViews>
    <sheetView tabSelected="1" view="pageBreakPreview" zoomScale="80" zoomScaleNormal="100" zoomScalePageLayoutView="80" workbookViewId="0">
      <selection activeCell="L18" sqref="L18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44.140625" style="15" customWidth="1"/>
    <col min="4" max="4" width="15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8"/>
      <c r="F9" s="19"/>
      <c r="G9" s="19"/>
    </row>
    <row r="10" spans="2:10" ht="15.75">
      <c r="B10" s="18"/>
      <c r="C10" s="51" t="str">
        <f>' (смета)'!D8</f>
        <v>"Весёлый карандаш 6-8 лет"</v>
      </c>
      <c r="D10" s="18"/>
      <c r="E10" s="18"/>
      <c r="F10" s="19"/>
      <c r="G10" s="19"/>
    </row>
    <row r="11" spans="2:10" ht="15.75">
      <c r="B11" s="18"/>
      <c r="C11" s="18" t="str">
        <f>' (смета)'!B9</f>
        <v>По программе:</v>
      </c>
      <c r="D11" s="18"/>
      <c r="E11" s="18"/>
      <c r="F11" s="19"/>
      <c r="G11" s="19"/>
    </row>
    <row r="12" spans="2:10" ht="15.75">
      <c r="B12" s="51"/>
      <c r="C12" s="18" t="str">
        <f>' (смета)'!D9</f>
        <v xml:space="preserve">Весёлый карандаш </v>
      </c>
      <c r="D12" s="18"/>
      <c r="E12" s="18"/>
      <c r="F12" s="19"/>
      <c r="G12" s="19"/>
    </row>
    <row r="13" spans="2:10" ht="15.75">
      <c r="B13" s="3" t="str">
        <f>' (смета)'!B3:K3</f>
        <v xml:space="preserve">                 На  2024-2025 учебный год  (сентябрь -май)</v>
      </c>
      <c r="C13" s="3"/>
      <c r="D13" s="3"/>
      <c r="E13" s="3"/>
      <c r="F13" s="19"/>
      <c r="G13" s="19"/>
    </row>
    <row r="14" spans="2:10" ht="24.75" customHeight="1">
      <c r="B14" s="223" t="s">
        <v>124</v>
      </c>
      <c r="C14" s="223" t="s">
        <v>125</v>
      </c>
      <c r="D14" s="223" t="s">
        <v>126</v>
      </c>
      <c r="E14" s="239" t="s">
        <v>127</v>
      </c>
    </row>
    <row r="15" spans="2:10" ht="16.5" customHeight="1">
      <c r="B15" s="240">
        <v>1</v>
      </c>
      <c r="C15" s="241" t="s">
        <v>128</v>
      </c>
      <c r="D15" s="242">
        <f>SUM(D16:D25)</f>
        <v>30240</v>
      </c>
      <c r="E15" s="243">
        <f>SUM(E16:E24)</f>
        <v>0</v>
      </c>
    </row>
    <row r="16" spans="2:10" ht="15.75">
      <c r="B16" s="244" t="s">
        <v>129</v>
      </c>
      <c r="C16" s="245" t="s">
        <v>3</v>
      </c>
      <c r="D16" s="49">
        <f>'резерв отпускных'!D14</f>
        <v>20451.392711659144</v>
      </c>
      <c r="E16" s="246"/>
    </row>
    <row r="17" spans="2:5" ht="15.75">
      <c r="B17" s="244" t="s">
        <v>130</v>
      </c>
      <c r="C17" s="245" t="s">
        <v>131</v>
      </c>
      <c r="D17" s="49">
        <f>'резерв отпускных'!D15</f>
        <v>6176.320598921061</v>
      </c>
      <c r="E17" s="246"/>
    </row>
    <row r="18" spans="2:5" ht="15.75">
      <c r="B18" s="244" t="s">
        <v>132</v>
      </c>
      <c r="C18" s="245" t="s">
        <v>133</v>
      </c>
      <c r="D18" s="49">
        <f>'резерв отпускных'!D13</f>
        <v>3612.286689419795</v>
      </c>
      <c r="E18" s="246"/>
    </row>
    <row r="19" spans="2:5" ht="15.75" hidden="1">
      <c r="B19" s="244" t="s">
        <v>134</v>
      </c>
      <c r="C19" s="245"/>
      <c r="D19" s="247"/>
      <c r="E19" s="246"/>
    </row>
    <row r="20" spans="2:5" ht="15.75" hidden="1">
      <c r="B20" s="244" t="s">
        <v>135</v>
      </c>
      <c r="C20" s="245"/>
      <c r="D20" s="247"/>
      <c r="E20" s="246"/>
    </row>
    <row r="21" spans="2:5" ht="15.75" hidden="1">
      <c r="B21" s="244" t="s">
        <v>136</v>
      </c>
      <c r="C21" s="245"/>
      <c r="D21" s="247"/>
      <c r="E21" s="246"/>
    </row>
    <row r="22" spans="2:5" ht="15.75" hidden="1">
      <c r="B22" s="244" t="s">
        <v>137</v>
      </c>
      <c r="C22" s="245"/>
      <c r="D22" s="247"/>
      <c r="E22" s="246"/>
    </row>
    <row r="23" spans="2:5" ht="25.5" hidden="1" customHeight="1">
      <c r="B23" s="244" t="s">
        <v>138</v>
      </c>
      <c r="C23" s="245"/>
      <c r="D23" s="245"/>
      <c r="E23" s="246"/>
    </row>
    <row r="24" spans="2:5" ht="15.75" hidden="1">
      <c r="B24" s="244" t="s">
        <v>139</v>
      </c>
      <c r="C24" s="245"/>
      <c r="D24" s="245"/>
      <c r="E24" s="246"/>
    </row>
    <row r="25" spans="2:5" ht="15.75" hidden="1">
      <c r="B25" s="60"/>
      <c r="C25" s="245"/>
      <c r="D25" s="247"/>
      <c r="E25" s="246"/>
    </row>
    <row r="26" spans="2:5" ht="15.75">
      <c r="B26" s="240">
        <v>2</v>
      </c>
      <c r="C26" s="241" t="s">
        <v>140</v>
      </c>
      <c r="D26" s="248">
        <f>D27+D38+D43+D44+D42+D41+D39+D40</f>
        <v>20160</v>
      </c>
      <c r="E26" s="243">
        <f>E27+E38+E41+E42+E43+E44</f>
        <v>0</v>
      </c>
    </row>
    <row r="27" spans="2:5" ht="31.5" hidden="1">
      <c r="B27" s="244" t="s">
        <v>141</v>
      </c>
      <c r="C27" s="249" t="s">
        <v>142</v>
      </c>
      <c r="D27" s="49">
        <f>D28+D37</f>
        <v>0</v>
      </c>
      <c r="E27" s="246">
        <f>E28+E37</f>
        <v>0</v>
      </c>
    </row>
    <row r="28" spans="2:5" ht="15.75" hidden="1">
      <c r="B28" s="244" t="s">
        <v>143</v>
      </c>
      <c r="C28" s="143" t="s">
        <v>3</v>
      </c>
      <c r="D28" s="49">
        <f>SUM(D29:D36)</f>
        <v>0</v>
      </c>
      <c r="E28" s="246">
        <f>SUM(E29:E36)</f>
        <v>0</v>
      </c>
    </row>
    <row r="29" spans="2:5" ht="15.75" hidden="1">
      <c r="B29" s="244"/>
      <c r="C29" s="143" t="s">
        <v>144</v>
      </c>
      <c r="D29" s="49"/>
      <c r="E29" s="246"/>
    </row>
    <row r="30" spans="2:5" ht="15.75" hidden="1">
      <c r="B30" s="244"/>
      <c r="C30" s="143" t="s">
        <v>145</v>
      </c>
      <c r="D30" s="247"/>
      <c r="E30" s="246"/>
    </row>
    <row r="31" spans="2:5" ht="15.75" hidden="1">
      <c r="B31" s="244"/>
      <c r="C31" s="143" t="s">
        <v>146</v>
      </c>
      <c r="D31" s="247"/>
      <c r="E31" s="246"/>
    </row>
    <row r="32" spans="2:5" ht="15.75" hidden="1">
      <c r="B32" s="244"/>
      <c r="C32" s="143" t="s">
        <v>147</v>
      </c>
      <c r="D32" s="247"/>
      <c r="E32" s="246"/>
    </row>
    <row r="33" spans="2:5" ht="15.75" hidden="1">
      <c r="B33" s="244"/>
      <c r="C33" s="143" t="s">
        <v>148</v>
      </c>
      <c r="D33" s="49">
        <f>+' (смета)'!G56/1.271</f>
        <v>0</v>
      </c>
      <c r="E33" s="246"/>
    </row>
    <row r="34" spans="2:5" ht="15.75" hidden="1">
      <c r="B34" s="244"/>
      <c r="C34" s="143" t="s">
        <v>149</v>
      </c>
      <c r="D34" s="247"/>
      <c r="E34" s="246"/>
    </row>
    <row r="35" spans="2:5" ht="15.75" hidden="1">
      <c r="B35" s="244"/>
      <c r="C35" s="143" t="s">
        <v>150</v>
      </c>
      <c r="D35" s="247"/>
      <c r="E35" s="246"/>
    </row>
    <row r="36" spans="2:5" ht="15.75" hidden="1">
      <c r="B36" s="244"/>
      <c r="C36" s="143" t="s">
        <v>151</v>
      </c>
      <c r="D36" s="247"/>
      <c r="E36" s="246"/>
    </row>
    <row r="37" spans="2:5" ht="15.75" hidden="1">
      <c r="B37" s="244" t="s">
        <v>152</v>
      </c>
      <c r="C37" s="143" t="s">
        <v>131</v>
      </c>
      <c r="D37" s="49">
        <f>D28*27.1%</f>
        <v>0</v>
      </c>
      <c r="E37" s="246">
        <f>E28*26.2%</f>
        <v>0</v>
      </c>
    </row>
    <row r="38" spans="2:5" ht="15.75">
      <c r="B38" s="244" t="s">
        <v>153</v>
      </c>
      <c r="C38" s="245" t="s">
        <v>154</v>
      </c>
      <c r="D38" s="49">
        <f>' (смета)'!G33</f>
        <v>5040</v>
      </c>
      <c r="E38" s="246"/>
    </row>
    <row r="39" spans="2:5" ht="31.5" customHeight="1">
      <c r="B39" s="250" t="s">
        <v>155</v>
      </c>
      <c r="C39" s="251" t="s">
        <v>156</v>
      </c>
      <c r="D39" s="49">
        <f>' (смета)'!G53</f>
        <v>2520</v>
      </c>
      <c r="E39" s="246"/>
    </row>
    <row r="40" spans="2:5" ht="16.5" customHeight="1">
      <c r="B40" s="250" t="s">
        <v>157</v>
      </c>
      <c r="C40" s="251" t="s">
        <v>158</v>
      </c>
      <c r="D40" s="49">
        <f>' (смета)'!G54</f>
        <v>655.20000000000005</v>
      </c>
      <c r="E40" s="246"/>
    </row>
    <row r="41" spans="2:5" ht="15.75">
      <c r="B41" s="244" t="s">
        <v>159</v>
      </c>
      <c r="C41" s="245" t="s">
        <v>160</v>
      </c>
      <c r="D41" s="49">
        <f>' (смета)'!G75</f>
        <v>0</v>
      </c>
      <c r="E41" s="246"/>
    </row>
    <row r="42" spans="2:5" ht="15.75">
      <c r="B42" s="244" t="s">
        <v>161</v>
      </c>
      <c r="C42" s="99" t="s">
        <v>162</v>
      </c>
      <c r="D42" s="252">
        <f>+' (смета)'!G76</f>
        <v>0</v>
      </c>
      <c r="E42" s="93"/>
    </row>
    <row r="43" spans="2:5" ht="15.75">
      <c r="B43" s="244" t="s">
        <v>163</v>
      </c>
      <c r="C43" s="245" t="s">
        <v>164</v>
      </c>
      <c r="D43" s="247">
        <f>' (смета)'!G64</f>
        <v>11944.8</v>
      </c>
      <c r="E43" s="246"/>
    </row>
    <row r="44" spans="2:5" ht="15.75">
      <c r="B44" s="244" t="s">
        <v>165</v>
      </c>
      <c r="C44" s="249" t="s">
        <v>166</v>
      </c>
      <c r="D44" s="247">
        <f>' (смета)'!G77</f>
        <v>0</v>
      </c>
      <c r="E44" s="246"/>
    </row>
    <row r="45" spans="2:5" ht="18.75" customHeight="1">
      <c r="B45" s="240">
        <v>3</v>
      </c>
      <c r="C45" s="241" t="s">
        <v>167</v>
      </c>
      <c r="D45" s="248">
        <f>D15+D26</f>
        <v>50400</v>
      </c>
      <c r="E45" s="243">
        <f>E15+E26</f>
        <v>0</v>
      </c>
    </row>
    <row r="46" spans="2:5" ht="15.75">
      <c r="B46" s="60"/>
      <c r="C46" s="245"/>
      <c r="D46" s="247"/>
      <c r="E46" s="246"/>
    </row>
    <row r="47" spans="2:5" ht="15.75">
      <c r="B47" s="60">
        <v>4</v>
      </c>
      <c r="C47" s="245" t="s">
        <v>168</v>
      </c>
      <c r="D47" s="49">
        <f>' (смета)'!E10</f>
        <v>4</v>
      </c>
      <c r="E47" s="246"/>
    </row>
    <row r="48" spans="2:5" ht="15.75">
      <c r="B48" s="60">
        <v>5</v>
      </c>
      <c r="C48" s="245" t="s">
        <v>169</v>
      </c>
      <c r="D48" s="49">
        <f>' (смета)'!E16</f>
        <v>72</v>
      </c>
      <c r="E48" s="246"/>
    </row>
    <row r="49" spans="2:8" ht="15.75">
      <c r="B49" s="240">
        <v>6</v>
      </c>
      <c r="C49" s="241" t="s">
        <v>170</v>
      </c>
      <c r="D49" s="248">
        <f>D45/D47/D48</f>
        <v>175</v>
      </c>
      <c r="E49" s="243"/>
    </row>
    <row r="50" spans="2:8" ht="15.75">
      <c r="B50" s="19"/>
      <c r="C50" s="19"/>
      <c r="D50" s="19"/>
    </row>
    <row r="51" spans="2:8" ht="15.75">
      <c r="B51" s="19" t="s">
        <v>171</v>
      </c>
      <c r="C51" s="20" t="str">
        <f>' (смета)'!F82</f>
        <v>А.Р. Саттарова</v>
      </c>
      <c r="D51" s="19"/>
      <c r="E51" s="204"/>
      <c r="F51" s="52"/>
      <c r="G51" s="2"/>
      <c r="H51" s="2"/>
    </row>
    <row r="52" spans="2:8" ht="15.75">
      <c r="B52" s="19"/>
      <c r="C52" s="19"/>
      <c r="D52" s="19"/>
      <c r="E52" s="19"/>
      <c r="F52" s="19"/>
      <c r="G52" s="20"/>
      <c r="H52" s="20"/>
    </row>
    <row r="53" spans="2:8" ht="15.75">
      <c r="B53" s="19"/>
      <c r="C53" s="19"/>
      <c r="D53" s="19"/>
      <c r="E53" s="204"/>
      <c r="F53" s="52"/>
      <c r="G53" s="8"/>
      <c r="H53" s="8"/>
    </row>
  </sheetData>
  <mergeCells count="6">
    <mergeCell ref="G53:H53"/>
    <mergeCell ref="D3:G3"/>
    <mergeCell ref="B8:D8"/>
    <mergeCell ref="B9:D9"/>
    <mergeCell ref="B13:E13"/>
    <mergeCell ref="G51:H51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5"/>
  <sheetViews>
    <sheetView view="pageBreakPreview" topLeftCell="A4" zoomScale="80" zoomScaleNormal="80" zoomScalePageLayoutView="80" workbookViewId="0">
      <selection activeCell="N10" sqref="N10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5.7109375" style="15" customWidth="1"/>
    <col min="6" max="6" width="13.85546875" style="15" customWidth="1"/>
    <col min="7" max="7" width="16.5703125" style="16" customWidth="1"/>
    <col min="8" max="8" width="14.85546875" style="16" customWidth="1"/>
    <col min="9" max="9" width="15.140625" style="16" customWidth="1"/>
    <col min="10" max="10" width="14.42578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/>
    <col min="16" max="16" width="11.85546875" style="15" customWidth="1"/>
    <col min="17" max="17" width="11.140625" style="15" customWidth="1"/>
    <col min="18" max="18" width="12.28515625" style="15" customWidth="1"/>
    <col min="19" max="19" width="15.5703125" style="15" customWidth="1"/>
    <col min="20" max="20" width="17.42578125" style="15" customWidth="1"/>
    <col min="21" max="257" width="9.140625" style="15"/>
  </cols>
  <sheetData>
    <row r="1" spans="2:20" s="19" customFormat="1" ht="12.75" customHeight="1">
      <c r="G1" s="20"/>
      <c r="H1" s="20"/>
      <c r="I1" s="20"/>
      <c r="J1" s="20"/>
      <c r="K1" s="20"/>
      <c r="M1" s="17"/>
      <c r="N1" s="18"/>
    </row>
    <row r="2" spans="2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2:20" s="21" customFormat="1" ht="19.5" customHeight="1">
      <c r="B3" s="14" t="str">
        <f>' (смета)'!B3:K3</f>
        <v xml:space="preserve">                 На  2024-2025 учебный год  (сентябрь -май)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2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G21</f>
        <v>1008000</v>
      </c>
      <c r="Q4" s="29">
        <f>H21+I21+J21+K21</f>
        <v>1008000</v>
      </c>
      <c r="R4" s="29">
        <f>G22+G27+G59</f>
        <v>1008000</v>
      </c>
      <c r="S4" s="30">
        <f>'калькуляция (2)'!D43</f>
        <v>1007998</v>
      </c>
      <c r="T4" s="31">
        <f>'резерв отпускных (2)'!D10+'резерв отпускных (2)'!D11+'резерв отпускных (2)'!D14+'резерв отпускных (2)'!D15</f>
        <v>604799.00000000012</v>
      </c>
    </row>
    <row r="5" spans="2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2:20" s="32" customFormat="1" ht="18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M6" s="35"/>
      <c r="N6" s="36"/>
      <c r="P6" s="37">
        <f>E17-P4</f>
        <v>0</v>
      </c>
      <c r="Q6" s="37">
        <f>E17-Q4</f>
        <v>0</v>
      </c>
      <c r="R6" s="37">
        <f>E17-R4</f>
        <v>0</v>
      </c>
      <c r="S6" s="37">
        <f>E17-S4</f>
        <v>2</v>
      </c>
      <c r="T6" s="37">
        <f>G22-T4</f>
        <v>0.99999999988358468</v>
      </c>
    </row>
    <row r="7" spans="2:20" s="19" customFormat="1" ht="18" customHeight="1">
      <c r="B7" s="1" t="s">
        <v>7</v>
      </c>
      <c r="C7" s="1"/>
      <c r="D7" s="1"/>
      <c r="E7" s="115" t="s">
        <v>172</v>
      </c>
      <c r="F7" s="115"/>
      <c r="G7" s="41"/>
      <c r="H7" s="20"/>
      <c r="I7" s="20"/>
      <c r="J7" s="20"/>
      <c r="K7" s="20"/>
      <c r="M7" s="17"/>
      <c r="N7" s="18"/>
    </row>
    <row r="8" spans="2:20" s="19" customFormat="1" ht="18" customHeight="1">
      <c r="B8" s="38" t="s">
        <v>9</v>
      </c>
      <c r="C8" s="39"/>
      <c r="D8" s="38" t="s">
        <v>173</v>
      </c>
      <c r="E8" s="40"/>
      <c r="F8" s="115"/>
      <c r="G8" s="41"/>
      <c r="H8" s="20"/>
      <c r="I8" s="20"/>
      <c r="J8" s="20"/>
      <c r="K8" s="20"/>
      <c r="M8" s="17"/>
      <c r="N8" s="18"/>
    </row>
    <row r="9" spans="2:20" s="19" customFormat="1" ht="27" customHeight="1">
      <c r="B9" s="19" t="s">
        <v>11</v>
      </c>
      <c r="E9" s="42">
        <v>40</v>
      </c>
      <c r="F9" s="15"/>
      <c r="G9" s="253" t="s">
        <v>174</v>
      </c>
      <c r="H9" s="20">
        <v>2800</v>
      </c>
      <c r="I9" s="254" t="s">
        <v>175</v>
      </c>
      <c r="J9" s="255"/>
      <c r="K9" s="255"/>
      <c r="M9" s="17"/>
      <c r="N9" s="18"/>
    </row>
    <row r="10" spans="2:20" s="19" customFormat="1" ht="18" customHeight="1">
      <c r="B10" s="19" t="s">
        <v>12</v>
      </c>
      <c r="E10" s="42">
        <v>8</v>
      </c>
      <c r="F10" s="43"/>
      <c r="G10" s="20" t="s">
        <v>176</v>
      </c>
      <c r="H10" s="253">
        <f>H9/32</f>
        <v>87.5</v>
      </c>
      <c r="I10" s="255"/>
      <c r="J10" s="255"/>
      <c r="K10" s="255"/>
      <c r="M10" s="17"/>
      <c r="N10" s="44"/>
      <c r="O10" s="45"/>
    </row>
    <row r="11" spans="2:20" s="19" customFormat="1" ht="18" customHeight="1">
      <c r="B11" s="19" t="s">
        <v>14</v>
      </c>
      <c r="E11" s="42">
        <v>1</v>
      </c>
      <c r="F11" s="256"/>
      <c r="G11" s="257"/>
      <c r="H11" s="255"/>
      <c r="I11" s="255"/>
      <c r="J11" s="255"/>
      <c r="K11" s="255"/>
      <c r="M11" s="17"/>
      <c r="N11" s="18"/>
    </row>
    <row r="12" spans="2:20" s="19" customFormat="1" ht="18" customHeight="1">
      <c r="B12" s="19" t="s">
        <v>15</v>
      </c>
      <c r="E12" s="47">
        <f>G14</f>
        <v>36</v>
      </c>
      <c r="F12" s="256"/>
      <c r="G12" s="255"/>
      <c r="H12" s="255"/>
      <c r="I12" s="255"/>
      <c r="J12" s="255"/>
      <c r="K12" s="255"/>
      <c r="M12" s="17"/>
      <c r="N12" s="18"/>
    </row>
    <row r="13" spans="2:20" s="19" customFormat="1" ht="18" customHeight="1">
      <c r="B13" s="19" t="s">
        <v>177</v>
      </c>
      <c r="E13" s="48">
        <f>E9*E10*E12</f>
        <v>11520</v>
      </c>
      <c r="F13" s="43"/>
      <c r="G13" s="20"/>
      <c r="H13" s="20"/>
      <c r="I13" s="20"/>
      <c r="J13" s="20"/>
      <c r="K13" s="20"/>
      <c r="M13" s="17"/>
      <c r="N13" s="18"/>
    </row>
    <row r="14" spans="2:20" s="19" customFormat="1" ht="18" customHeight="1">
      <c r="B14" s="19" t="s">
        <v>17</v>
      </c>
      <c r="E14" s="42">
        <f>E12*E10*E11</f>
        <v>288</v>
      </c>
      <c r="G14" s="49">
        <f>H14+I14+J14+K14</f>
        <v>36</v>
      </c>
      <c r="H14" s="49">
        <v>4</v>
      </c>
      <c r="I14" s="49">
        <v>12</v>
      </c>
      <c r="J14" s="49">
        <v>12</v>
      </c>
      <c r="K14" s="49">
        <v>8</v>
      </c>
      <c r="M14" s="17"/>
      <c r="N14" s="18"/>
    </row>
    <row r="15" spans="2:20" s="19" customFormat="1" ht="18" customHeight="1">
      <c r="B15" s="19" t="s">
        <v>20</v>
      </c>
      <c r="E15" s="258">
        <f>H10</f>
        <v>87.5</v>
      </c>
      <c r="G15" s="51"/>
      <c r="H15" s="51"/>
      <c r="I15" s="51"/>
      <c r="J15" s="51"/>
      <c r="K15" s="51"/>
      <c r="M15" s="17"/>
      <c r="N15" s="18"/>
    </row>
    <row r="16" spans="2:20" s="19" customFormat="1" ht="21" customHeight="1">
      <c r="B16" s="19" t="s">
        <v>21</v>
      </c>
      <c r="E16" s="259">
        <f>E10*E12*E15</f>
        <v>25200</v>
      </c>
      <c r="F16" s="19" t="s">
        <v>19</v>
      </c>
      <c r="G16" s="51"/>
      <c r="H16" s="51"/>
      <c r="I16" s="51"/>
      <c r="J16" s="51"/>
      <c r="K16" s="51"/>
      <c r="M16" s="17"/>
      <c r="N16" s="18"/>
    </row>
    <row r="17" spans="1:24" s="19" customFormat="1" ht="18" customHeight="1">
      <c r="A17" s="52"/>
      <c r="B17" s="52" t="s">
        <v>22</v>
      </c>
      <c r="C17" s="53"/>
      <c r="D17" s="53"/>
      <c r="E17" s="260">
        <f>E16*E9</f>
        <v>1008000</v>
      </c>
      <c r="F17" s="53"/>
      <c r="G17" s="51"/>
      <c r="H17" s="51"/>
      <c r="I17" s="51"/>
      <c r="J17" s="51"/>
      <c r="K17" s="51"/>
      <c r="L17" s="19" t="s">
        <v>23</v>
      </c>
      <c r="M17" s="17"/>
      <c r="N17" s="18"/>
      <c r="R17" s="19" t="s">
        <v>19</v>
      </c>
    </row>
    <row r="18" spans="1:24" s="19" customFormat="1" ht="18" customHeight="1">
      <c r="A18" s="52"/>
      <c r="B18" s="52"/>
      <c r="C18" s="53"/>
      <c r="D18" s="53"/>
      <c r="E18" s="55"/>
      <c r="F18" s="53"/>
      <c r="G18" s="51"/>
      <c r="H18" s="51"/>
      <c r="I18" s="51"/>
      <c r="J18" s="51"/>
      <c r="K18" s="51"/>
      <c r="M18" s="17"/>
      <c r="N18" s="18"/>
    </row>
    <row r="19" spans="1:24" s="19" customFormat="1" ht="18" customHeight="1">
      <c r="A19" s="52"/>
      <c r="B19" s="56" t="s">
        <v>24</v>
      </c>
      <c r="C19" s="57"/>
      <c r="D19" s="57"/>
      <c r="E19" s="57"/>
      <c r="F19" s="57"/>
      <c r="G19" s="58"/>
      <c r="H19" s="12">
        <v>2024</v>
      </c>
      <c r="I19" s="12"/>
      <c r="J19" s="11">
        <v>2025</v>
      </c>
      <c r="K19" s="11"/>
      <c r="L19" s="61" t="s">
        <v>25</v>
      </c>
      <c r="M19" s="17"/>
      <c r="N19" s="10" t="s">
        <v>26</v>
      </c>
      <c r="P19" s="62"/>
      <c r="Q19" s="63"/>
      <c r="R19" s="64"/>
      <c r="S19" s="64"/>
      <c r="T19" s="63"/>
      <c r="U19" s="63"/>
      <c r="V19" s="63"/>
      <c r="W19" s="63"/>
    </row>
    <row r="20" spans="1:24" s="19" customFormat="1" ht="18" customHeight="1">
      <c r="A20" s="52"/>
      <c r="B20" s="65"/>
      <c r="C20" s="66" t="s">
        <v>27</v>
      </c>
      <c r="D20" s="52"/>
      <c r="E20" s="52"/>
      <c r="F20" s="52"/>
      <c r="G20" s="67"/>
      <c r="H20" s="49" t="s">
        <v>28</v>
      </c>
      <c r="I20" s="49" t="s">
        <v>29</v>
      </c>
      <c r="J20" s="49" t="s">
        <v>30</v>
      </c>
      <c r="K20" s="49" t="s">
        <v>31</v>
      </c>
      <c r="L20" s="68" t="s">
        <v>32</v>
      </c>
      <c r="M20" s="17"/>
      <c r="N20" s="10"/>
    </row>
    <row r="21" spans="1:24" s="63" customFormat="1" ht="30" customHeight="1">
      <c r="B21" s="69"/>
      <c r="C21" s="70"/>
      <c r="D21" s="70"/>
      <c r="E21" s="70"/>
      <c r="F21" s="70"/>
      <c r="G21" s="71">
        <f>E17</f>
        <v>1008000</v>
      </c>
      <c r="H21" s="72">
        <f>E17/G14*H14</f>
        <v>112000</v>
      </c>
      <c r="I21" s="72">
        <f>E17/G14*I14</f>
        <v>336000</v>
      </c>
      <c r="J21" s="72">
        <f>E17/G14*J14</f>
        <v>336000</v>
      </c>
      <c r="K21" s="72">
        <f>E17/G14*K14</f>
        <v>224000</v>
      </c>
      <c r="L21" s="73">
        <f>E15</f>
        <v>87.5</v>
      </c>
      <c r="M21" s="74" t="e">
        <f>G21/N10</f>
        <v>#DIV/0!</v>
      </c>
      <c r="N21" s="75">
        <f>G21/G21</f>
        <v>1</v>
      </c>
      <c r="O21" s="32"/>
      <c r="P21" s="19"/>
      <c r="Q21" s="19"/>
      <c r="R21" s="19"/>
      <c r="S21" s="19"/>
      <c r="T21" s="19"/>
      <c r="U21" s="19"/>
      <c r="V21" s="19"/>
      <c r="W21" s="19"/>
    </row>
    <row r="22" spans="1:24" s="19" customFormat="1" ht="24.95" customHeight="1">
      <c r="B22" s="78" t="s">
        <v>33</v>
      </c>
      <c r="C22" s="79"/>
      <c r="D22" s="79"/>
      <c r="E22" s="79"/>
      <c r="F22" s="79"/>
      <c r="G22" s="80">
        <f>+H22+I22+J22+K22</f>
        <v>604800</v>
      </c>
      <c r="H22" s="80">
        <f>H21*0.6</f>
        <v>67200</v>
      </c>
      <c r="I22" s="80">
        <f>I21*0.6</f>
        <v>201600</v>
      </c>
      <c r="J22" s="80">
        <f>J21*0.6</f>
        <v>201600</v>
      </c>
      <c r="K22" s="80">
        <f>K21*0.6</f>
        <v>134400</v>
      </c>
      <c r="L22" s="81"/>
      <c r="M22" s="74">
        <f>G22/8208</f>
        <v>73.684210526315795</v>
      </c>
      <c r="N22" s="82">
        <f>G22/G21</f>
        <v>0.6</v>
      </c>
      <c r="O22" s="83"/>
      <c r="X22" s="84"/>
    </row>
    <row r="23" spans="1:24" s="19" customFormat="1" ht="17.25" customHeight="1">
      <c r="B23" s="85"/>
      <c r="C23" s="86"/>
      <c r="D23" s="86"/>
      <c r="E23" s="86"/>
      <c r="F23" s="87"/>
      <c r="G23" s="49"/>
      <c r="H23" s="58">
        <v>0</v>
      </c>
      <c r="I23" s="58"/>
      <c r="J23" s="58"/>
      <c r="K23" s="58"/>
      <c r="L23" s="88" t="e">
        <f>M23</f>
        <v>#DIV/0!</v>
      </c>
      <c r="M23" s="74" t="e">
        <f>G23/N10</f>
        <v>#DIV/0!</v>
      </c>
      <c r="N23" s="82"/>
      <c r="P23" s="89" t="s">
        <v>34</v>
      </c>
      <c r="Q23" s="90"/>
      <c r="R23" s="90"/>
      <c r="S23" s="90"/>
      <c r="T23" s="91"/>
      <c r="U23" s="52"/>
      <c r="V23" s="52"/>
    </row>
    <row r="24" spans="1:24" s="19" customFormat="1" ht="17.25" customHeight="1">
      <c r="A24" s="19" t="s">
        <v>35</v>
      </c>
      <c r="B24" s="92" t="s">
        <v>36</v>
      </c>
      <c r="C24" s="93"/>
      <c r="D24" s="93"/>
      <c r="E24" s="93"/>
      <c r="F24" s="93"/>
      <c r="G24" s="49">
        <f t="shared" ref="G24:G34" si="0">SUM(H24:K24)</f>
        <v>464516.12903225812</v>
      </c>
      <c r="H24" s="49">
        <f>H22/1.302</f>
        <v>51612.903225806447</v>
      </c>
      <c r="I24" s="49">
        <f>I22/1.302</f>
        <v>154838.70967741936</v>
      </c>
      <c r="J24" s="49">
        <f>J22/1.302</f>
        <v>154838.70967741936</v>
      </c>
      <c r="K24" s="49">
        <f>K22/1.302</f>
        <v>103225.80645161289</v>
      </c>
      <c r="L24" s="94" t="e">
        <f>M24</f>
        <v>#DIV/0!</v>
      </c>
      <c r="M24" s="74" t="e">
        <f>G24/N10</f>
        <v>#DIV/0!</v>
      </c>
      <c r="N24" s="82"/>
      <c r="P24" s="95" t="s">
        <v>37</v>
      </c>
      <c r="Q24" s="96">
        <f>E15*0.546/1.302/1.1357/1.3</f>
        <v>24.853223960212119</v>
      </c>
      <c r="R24" s="97" t="s">
        <v>38</v>
      </c>
      <c r="S24" s="97"/>
      <c r="T24" s="98" t="s">
        <v>39</v>
      </c>
      <c r="U24" s="97"/>
      <c r="V24" s="97"/>
      <c r="X24" s="84"/>
    </row>
    <row r="25" spans="1:24" s="19" customFormat="1" ht="17.25" hidden="1" customHeight="1">
      <c r="A25" s="32" t="s">
        <v>40</v>
      </c>
      <c r="B25" s="99" t="s">
        <v>41</v>
      </c>
      <c r="C25" s="99"/>
      <c r="D25" s="93"/>
      <c r="E25" s="93"/>
      <c r="F25" s="93"/>
      <c r="G25" s="49">
        <f t="shared" si="0"/>
        <v>0</v>
      </c>
      <c r="H25" s="49"/>
      <c r="I25" s="49"/>
      <c r="J25" s="49"/>
      <c r="K25" s="49"/>
      <c r="L25" s="100"/>
      <c r="M25" s="74">
        <f>G25/5760</f>
        <v>0</v>
      </c>
      <c r="N25" s="82"/>
      <c r="P25" s="101"/>
      <c r="Q25" s="52"/>
      <c r="R25" s="52"/>
      <c r="S25" s="52"/>
      <c r="T25" s="102"/>
      <c r="U25" s="52"/>
      <c r="V25" s="52"/>
    </row>
    <row r="26" spans="1:24" s="19" customFormat="1" ht="17.25" customHeight="1">
      <c r="A26" s="32" t="s">
        <v>40</v>
      </c>
      <c r="B26" s="103" t="s">
        <v>42</v>
      </c>
      <c r="C26" s="104"/>
      <c r="D26" s="105"/>
      <c r="E26" s="105"/>
      <c r="F26" s="105"/>
      <c r="G26" s="49">
        <f t="shared" si="0"/>
        <v>140283.87096774194</v>
      </c>
      <c r="H26" s="49">
        <f>H22-H24</f>
        <v>15587.096774193553</v>
      </c>
      <c r="I26" s="49">
        <f>I22-I24</f>
        <v>46761.290322580637</v>
      </c>
      <c r="J26" s="49">
        <f>J22-J24</f>
        <v>46761.290322580637</v>
      </c>
      <c r="K26" s="49">
        <f>K22-K24</f>
        <v>31174.193548387106</v>
      </c>
      <c r="L26" s="106" t="e">
        <f>M26</f>
        <v>#DIV/0!</v>
      </c>
      <c r="M26" s="74" t="e">
        <f t="shared" ref="M26:M34" si="1">G26/$N$10</f>
        <v>#DIV/0!</v>
      </c>
      <c r="N26" s="82"/>
      <c r="P26" s="107" t="s">
        <v>43</v>
      </c>
      <c r="Q26" s="108">
        <f>E15*0.054/1.302/1.1357/1.3</f>
        <v>2.4580111609000994</v>
      </c>
      <c r="R26" s="109" t="s">
        <v>38</v>
      </c>
      <c r="S26" s="109"/>
      <c r="T26" s="110" t="s">
        <v>44</v>
      </c>
      <c r="U26" s="52"/>
      <c r="V26" s="52"/>
    </row>
    <row r="27" spans="1:24" s="19" customFormat="1" ht="24.95" customHeight="1">
      <c r="B27" s="111" t="s">
        <v>45</v>
      </c>
      <c r="C27" s="112"/>
      <c r="D27" s="112"/>
      <c r="E27" s="112"/>
      <c r="F27" s="112"/>
      <c r="G27" s="113">
        <f t="shared" si="0"/>
        <v>164304</v>
      </c>
      <c r="H27" s="80">
        <f>H28+H29+H30+H43+H44+H49</f>
        <v>18256</v>
      </c>
      <c r="I27" s="80">
        <f>I28+I29+I30+I43+I44+I49</f>
        <v>54768</v>
      </c>
      <c r="J27" s="80">
        <f>J28+J29+J30+J43+J44+J49</f>
        <v>54768</v>
      </c>
      <c r="K27" s="80">
        <f>K28+K29+K30+K43+K44+K49</f>
        <v>36512</v>
      </c>
      <c r="L27" s="114" t="e">
        <f>L28+L29+L30+L43+L44+L49</f>
        <v>#DIV/0!</v>
      </c>
      <c r="M27" s="74" t="e">
        <f t="shared" si="1"/>
        <v>#DIV/0!</v>
      </c>
      <c r="N27" s="82"/>
      <c r="P27" s="17"/>
    </row>
    <row r="28" spans="1:24" s="115" customFormat="1" ht="17.25" hidden="1" customHeight="1">
      <c r="B28" s="116" t="s">
        <v>46</v>
      </c>
      <c r="C28" s="117"/>
      <c r="D28" s="117"/>
      <c r="E28" s="117"/>
      <c r="F28" s="117"/>
      <c r="G28" s="49">
        <f t="shared" si="0"/>
        <v>0</v>
      </c>
      <c r="H28" s="49"/>
      <c r="I28" s="49"/>
      <c r="J28" s="49"/>
      <c r="K28" s="118"/>
      <c r="L28" s="119">
        <f>(H28/3*$L$21)/($H$21/3)</f>
        <v>0</v>
      </c>
      <c r="M28" s="74" t="e">
        <f t="shared" si="1"/>
        <v>#DIV/0!</v>
      </c>
      <c r="N28" s="82"/>
      <c r="O28" s="32"/>
    </row>
    <row r="29" spans="1:24" s="115" customFormat="1" ht="17.25" hidden="1" customHeight="1">
      <c r="B29" s="116" t="s">
        <v>47</v>
      </c>
      <c r="C29" s="117"/>
      <c r="D29" s="117"/>
      <c r="E29" s="117"/>
      <c r="F29" s="117"/>
      <c r="G29" s="49">
        <f t="shared" si="0"/>
        <v>0</v>
      </c>
      <c r="H29" s="49"/>
      <c r="I29" s="49"/>
      <c r="J29" s="49"/>
      <c r="K29" s="49"/>
      <c r="L29" s="119"/>
      <c r="M29" s="74" t="e">
        <f t="shared" si="1"/>
        <v>#DIV/0!</v>
      </c>
      <c r="N29" s="82"/>
      <c r="O29" s="32"/>
    </row>
    <row r="30" spans="1:24" s="115" customFormat="1" ht="17.25" customHeight="1">
      <c r="B30" s="120" t="s">
        <v>48</v>
      </c>
      <c r="C30" s="121"/>
      <c r="D30" s="121"/>
      <c r="E30" s="121"/>
      <c r="F30" s="121"/>
      <c r="G30" s="59">
        <f t="shared" si="0"/>
        <v>100800</v>
      </c>
      <c r="H30" s="49">
        <f>H31+H34+H38</f>
        <v>11200</v>
      </c>
      <c r="I30" s="49">
        <f>I31+I34+I38</f>
        <v>33600</v>
      </c>
      <c r="J30" s="49">
        <f>SUM(J31:J38)</f>
        <v>33600</v>
      </c>
      <c r="K30" s="49">
        <f>SUM(K31:K38)</f>
        <v>22400</v>
      </c>
      <c r="L30" s="106" t="e">
        <f>L31+L34+L38</f>
        <v>#DIV/0!</v>
      </c>
      <c r="M30" s="74" t="e">
        <f t="shared" si="1"/>
        <v>#DIV/0!</v>
      </c>
      <c r="N30" s="82">
        <f>G30/G21</f>
        <v>0.1</v>
      </c>
      <c r="O30" s="32"/>
    </row>
    <row r="31" spans="1:24" s="122" customFormat="1" ht="17.25" customHeight="1">
      <c r="B31" s="99" t="s">
        <v>49</v>
      </c>
      <c r="C31" s="93"/>
      <c r="D31" s="93"/>
      <c r="E31" s="123">
        <v>6.5000000000000002E-2</v>
      </c>
      <c r="F31" s="124"/>
      <c r="G31" s="125">
        <f t="shared" si="0"/>
        <v>65520</v>
      </c>
      <c r="H31" s="126">
        <f>+H21*6.5%</f>
        <v>7280</v>
      </c>
      <c r="I31" s="126">
        <f>+I21*6.5%</f>
        <v>21840</v>
      </c>
      <c r="J31" s="126">
        <f>+J21*6.5%</f>
        <v>21840</v>
      </c>
      <c r="K31" s="126">
        <f>+K21*6.5%</f>
        <v>14560</v>
      </c>
      <c r="L31" s="94" t="e">
        <f>M31</f>
        <v>#DIV/0!</v>
      </c>
      <c r="M31" s="74" t="e">
        <f t="shared" si="1"/>
        <v>#DIV/0!</v>
      </c>
      <c r="N31" s="82"/>
      <c r="O31" s="19"/>
    </row>
    <row r="32" spans="1:24" s="128" customFormat="1" ht="17.25" hidden="1" customHeight="1">
      <c r="B32" s="129" t="s">
        <v>50</v>
      </c>
      <c r="C32" s="130"/>
      <c r="D32" s="130" t="s">
        <v>51</v>
      </c>
      <c r="E32" s="131"/>
      <c r="F32" s="130" t="s">
        <v>52</v>
      </c>
      <c r="G32" s="132">
        <f t="shared" si="0"/>
        <v>0</v>
      </c>
      <c r="H32" s="133"/>
      <c r="I32" s="133"/>
      <c r="J32" s="133"/>
      <c r="K32" s="133"/>
      <c r="L32" s="94">
        <f>(H32/3*$L$21)/($H$21/3)</f>
        <v>0</v>
      </c>
      <c r="M32" s="74" t="e">
        <f t="shared" si="1"/>
        <v>#DIV/0!</v>
      </c>
      <c r="N32" s="149"/>
      <c r="O32" s="134"/>
    </row>
    <row r="33" spans="2:16" s="128" customFormat="1" ht="17.25" hidden="1" customHeight="1">
      <c r="B33" s="135" t="s">
        <v>53</v>
      </c>
      <c r="C33" s="136">
        <f>C32</f>
        <v>0</v>
      </c>
      <c r="D33" s="136" t="s">
        <v>54</v>
      </c>
      <c r="E33" s="137"/>
      <c r="F33" s="136"/>
      <c r="G33" s="138">
        <f t="shared" si="0"/>
        <v>0</v>
      </c>
      <c r="H33" s="133"/>
      <c r="I33" s="133"/>
      <c r="J33" s="133"/>
      <c r="K33" s="133"/>
      <c r="L33" s="94">
        <f>(H33/3*$L$21)/($H$21/3)</f>
        <v>0</v>
      </c>
      <c r="M33" s="74" t="e">
        <f t="shared" si="1"/>
        <v>#DIV/0!</v>
      </c>
      <c r="N33" s="149"/>
      <c r="O33" s="134"/>
    </row>
    <row r="34" spans="2:16" s="122" customFormat="1" ht="17.25" customHeight="1">
      <c r="B34" s="99" t="s">
        <v>55</v>
      </c>
      <c r="C34" s="93"/>
      <c r="D34" s="93"/>
      <c r="E34" s="123">
        <v>2.1000000000000001E-2</v>
      </c>
      <c r="F34" s="124"/>
      <c r="G34" s="125">
        <f t="shared" si="0"/>
        <v>21168</v>
      </c>
      <c r="H34" s="126">
        <f>+H21*2.1%</f>
        <v>2352</v>
      </c>
      <c r="I34" s="126">
        <f>+I21*2.1%</f>
        <v>7056</v>
      </c>
      <c r="J34" s="126">
        <f>+J21*2.1%</f>
        <v>7056</v>
      </c>
      <c r="K34" s="126">
        <f>+K21*2.1%</f>
        <v>4704</v>
      </c>
      <c r="L34" s="94" t="e">
        <f>M34</f>
        <v>#DIV/0!</v>
      </c>
      <c r="M34" s="74" t="e">
        <f t="shared" si="1"/>
        <v>#DIV/0!</v>
      </c>
      <c r="N34" s="18"/>
      <c r="O34" s="19"/>
    </row>
    <row r="35" spans="2:16" s="128" customFormat="1" ht="15.75" hidden="1" customHeight="1">
      <c r="B35" s="139"/>
      <c r="C35" s="130"/>
      <c r="D35" s="130">
        <f>1.44*24*3</f>
        <v>103.68</v>
      </c>
      <c r="E35" s="131" t="s">
        <v>56</v>
      </c>
      <c r="F35" s="140"/>
      <c r="G35" s="141"/>
      <c r="H35" s="133"/>
      <c r="I35" s="133"/>
      <c r="J35" s="133"/>
      <c r="K35" s="133"/>
      <c r="L35" s="94">
        <f>(H35/3*$L$21)/($H$21/3)</f>
        <v>0</v>
      </c>
      <c r="M35" s="74" t="e">
        <f>F35/$N$10</f>
        <v>#DIV/0!</v>
      </c>
      <c r="N35" s="149"/>
      <c r="O35" s="134"/>
      <c r="P35" s="128">
        <v>224</v>
      </c>
    </row>
    <row r="36" spans="2:16" s="128" customFormat="1" ht="15.75" hidden="1" customHeight="1">
      <c r="B36" s="130" t="s">
        <v>57</v>
      </c>
      <c r="C36" s="134"/>
      <c r="D36" s="130"/>
      <c r="E36" s="131"/>
      <c r="F36" s="130"/>
      <c r="G36" s="142"/>
      <c r="H36" s="133"/>
      <c r="I36" s="133"/>
      <c r="J36" s="133"/>
      <c r="K36" s="133"/>
      <c r="L36" s="94">
        <f>(H36/3*$L$21)/($H$21/3)</f>
        <v>0</v>
      </c>
      <c r="M36" s="74" t="e">
        <f t="shared" ref="M36:M62" si="2">G36/$N$10</f>
        <v>#DIV/0!</v>
      </c>
      <c r="N36" s="149"/>
      <c r="O36" s="134"/>
    </row>
    <row r="37" spans="2:16" s="128" customFormat="1" ht="15.75" hidden="1" customHeight="1">
      <c r="B37" s="143"/>
      <c r="C37" s="130" t="s">
        <v>58</v>
      </c>
      <c r="D37" s="130"/>
      <c r="E37" s="131"/>
      <c r="F37" s="143"/>
      <c r="G37" s="142" t="s">
        <v>59</v>
      </c>
      <c r="H37" s="133"/>
      <c r="I37" s="133"/>
      <c r="J37" s="133"/>
      <c r="K37" s="133"/>
      <c r="L37" s="94">
        <f>(H37/3*$L$21)/($H$21/3)</f>
        <v>0</v>
      </c>
      <c r="M37" s="74" t="e">
        <f t="shared" si="2"/>
        <v>#VALUE!</v>
      </c>
      <c r="N37" s="149"/>
      <c r="O37" s="134"/>
    </row>
    <row r="38" spans="2:16" s="122" customFormat="1" ht="17.25" customHeight="1">
      <c r="B38" s="144" t="s">
        <v>60</v>
      </c>
      <c r="C38" s="93"/>
      <c r="D38" s="93"/>
      <c r="E38" s="123">
        <v>1.4E-2</v>
      </c>
      <c r="F38" s="145"/>
      <c r="G38" s="125">
        <f>SUM(H38:K38)</f>
        <v>14111.999999999998</v>
      </c>
      <c r="H38" s="126">
        <f>+H21*1.4%</f>
        <v>1567.9999999999998</v>
      </c>
      <c r="I38" s="126">
        <f>+I21*1.4%</f>
        <v>4703.9999999999991</v>
      </c>
      <c r="J38" s="126">
        <f>+J21*1.4%</f>
        <v>4703.9999999999991</v>
      </c>
      <c r="K38" s="126">
        <f>+K21*1.4%</f>
        <v>3135.9999999999995</v>
      </c>
      <c r="L38" s="94" t="e">
        <f>M38</f>
        <v>#DIV/0!</v>
      </c>
      <c r="M38" s="74" t="e">
        <f t="shared" si="2"/>
        <v>#DIV/0!</v>
      </c>
      <c r="N38" s="18"/>
      <c r="O38" s="19"/>
    </row>
    <row r="39" spans="2:16" s="128" customFormat="1" ht="18.75" hidden="1" customHeight="1">
      <c r="B39" s="139" t="s">
        <v>61</v>
      </c>
      <c r="C39" s="130"/>
      <c r="D39" s="130">
        <f>50</f>
        <v>50</v>
      </c>
      <c r="E39" s="130" t="s">
        <v>62</v>
      </c>
      <c r="F39" s="134"/>
      <c r="G39" s="146"/>
      <c r="H39" s="147"/>
      <c r="I39" s="147"/>
      <c r="J39" s="147"/>
      <c r="K39" s="147"/>
      <c r="L39" s="148"/>
      <c r="M39" s="74" t="e">
        <f t="shared" si="2"/>
        <v>#DIV/0!</v>
      </c>
      <c r="N39" s="149"/>
      <c r="O39" s="134"/>
      <c r="P39" s="128">
        <v>224</v>
      </c>
    </row>
    <row r="40" spans="2:16" s="128" customFormat="1" ht="18.75" hidden="1" customHeight="1">
      <c r="B40" s="139" t="s">
        <v>63</v>
      </c>
      <c r="C40" s="130"/>
      <c r="D40" s="130">
        <f>50</f>
        <v>50</v>
      </c>
      <c r="E40" s="130" t="s">
        <v>62</v>
      </c>
      <c r="F40" s="134"/>
      <c r="G40" s="146"/>
      <c r="H40" s="147"/>
      <c r="I40" s="147"/>
      <c r="J40" s="147"/>
      <c r="K40" s="147">
        <f>H40</f>
        <v>0</v>
      </c>
      <c r="L40" s="148"/>
      <c r="M40" s="74" t="e">
        <f t="shared" si="2"/>
        <v>#DIV/0!</v>
      </c>
      <c r="N40" s="149"/>
      <c r="O40" s="134"/>
      <c r="P40" s="128">
        <v>224</v>
      </c>
    </row>
    <row r="41" spans="2:16" s="122" customFormat="1" ht="11.25" hidden="1" customHeight="1">
      <c r="B41" s="150"/>
      <c r="C41" s="52"/>
      <c r="D41" s="52"/>
      <c r="E41" s="52"/>
      <c r="F41" s="52"/>
      <c r="G41" s="50"/>
      <c r="H41" s="50"/>
      <c r="I41" s="67"/>
      <c r="J41" s="151"/>
      <c r="K41" s="151"/>
      <c r="L41" s="148"/>
      <c r="M41" s="74" t="e">
        <f t="shared" si="2"/>
        <v>#DIV/0!</v>
      </c>
      <c r="N41" s="18"/>
      <c r="O41" s="19"/>
    </row>
    <row r="42" spans="2:16" s="115" customFormat="1" ht="18.75" hidden="1" customHeight="1">
      <c r="B42" s="116" t="s">
        <v>64</v>
      </c>
      <c r="C42" s="117"/>
      <c r="D42" s="117"/>
      <c r="E42" s="117"/>
      <c r="F42" s="117"/>
      <c r="G42" s="59"/>
      <c r="H42" s="152"/>
      <c r="I42" s="152"/>
      <c r="J42" s="152"/>
      <c r="K42" s="153"/>
      <c r="L42" s="154"/>
      <c r="M42" s="74" t="e">
        <f t="shared" si="2"/>
        <v>#DIV/0!</v>
      </c>
      <c r="N42" s="36"/>
      <c r="O42" s="32"/>
    </row>
    <row r="43" spans="2:16" s="115" customFormat="1" ht="20.25" hidden="1" customHeight="1">
      <c r="B43" s="155"/>
      <c r="C43" s="156"/>
      <c r="D43" s="156"/>
      <c r="E43" s="156"/>
      <c r="F43" s="156"/>
      <c r="G43" s="49">
        <f t="shared" ref="G43:G53" si="3">SUM(H43:K43)</f>
        <v>0</v>
      </c>
      <c r="H43" s="157"/>
      <c r="I43" s="157"/>
      <c r="J43" s="157"/>
      <c r="K43" s="157"/>
      <c r="L43" s="119">
        <f>(H43/3*$L$21)/($H$21/3)</f>
        <v>0</v>
      </c>
      <c r="M43" s="74" t="e">
        <f t="shared" si="2"/>
        <v>#DIV/0!</v>
      </c>
      <c r="N43" s="36"/>
      <c r="O43" s="32"/>
    </row>
    <row r="44" spans="2:16" s="115" customFormat="1" ht="21" hidden="1" customHeight="1">
      <c r="B44" s="158" t="s">
        <v>65</v>
      </c>
      <c r="C44" s="159"/>
      <c r="D44" s="159"/>
      <c r="E44" s="159"/>
      <c r="F44" s="159"/>
      <c r="G44" s="49">
        <f t="shared" si="3"/>
        <v>0</v>
      </c>
      <c r="H44" s="152">
        <f>H45+H47+H48</f>
        <v>0</v>
      </c>
      <c r="I44" s="152">
        <f>I45+I47+I48</f>
        <v>0</v>
      </c>
      <c r="J44" s="152">
        <f>J45+J47+J48</f>
        <v>0</v>
      </c>
      <c r="K44" s="152">
        <f>K45+K47+K48</f>
        <v>0</v>
      </c>
      <c r="L44" s="100" t="e">
        <f>L45+L47+L48</f>
        <v>#DIV/0!</v>
      </c>
      <c r="M44" s="74" t="e">
        <f t="shared" si="2"/>
        <v>#DIV/0!</v>
      </c>
      <c r="N44" s="36"/>
      <c r="O44" s="32"/>
    </row>
    <row r="45" spans="2:16" s="160" customFormat="1" ht="15" hidden="1" customHeight="1">
      <c r="B45" s="144" t="s">
        <v>66</v>
      </c>
      <c r="C45" s="161"/>
      <c r="D45" s="161"/>
      <c r="E45" s="161"/>
      <c r="F45" s="145"/>
      <c r="G45" s="49">
        <f t="shared" si="3"/>
        <v>0</v>
      </c>
      <c r="H45" s="49"/>
      <c r="I45" s="49"/>
      <c r="J45" s="49"/>
      <c r="K45" s="49"/>
      <c r="L45" s="162">
        <f>(H45/3*$L$21)/($H$21/3)</f>
        <v>0</v>
      </c>
      <c r="M45" s="74" t="e">
        <f t="shared" si="2"/>
        <v>#DIV/0!</v>
      </c>
      <c r="N45" s="36"/>
      <c r="O45" s="32"/>
    </row>
    <row r="46" spans="2:16" s="128" customFormat="1" ht="15" hidden="1" customHeight="1">
      <c r="B46" s="139" t="s">
        <v>67</v>
      </c>
      <c r="C46" s="130"/>
      <c r="D46" s="130"/>
      <c r="E46" s="130"/>
      <c r="F46" s="130" t="s">
        <v>68</v>
      </c>
      <c r="G46" s="49">
        <f t="shared" si="3"/>
        <v>0</v>
      </c>
      <c r="H46" s="147">
        <f>ROUND(E46*0.976*1.18,1)</f>
        <v>0</v>
      </c>
      <c r="I46" s="147">
        <f>ROUND(E46*0.976*1.18,1)</f>
        <v>0</v>
      </c>
      <c r="J46" s="147">
        <f>ROUND(E46*0.976*1.18,1)</f>
        <v>0</v>
      </c>
      <c r="K46" s="147">
        <f>ROUND(E46*0.976*1.18,1)</f>
        <v>0</v>
      </c>
      <c r="L46" s="163">
        <f>(H46/3*$L$21)/($H$21/3)</f>
        <v>0</v>
      </c>
      <c r="M46" s="74" t="e">
        <f t="shared" si="2"/>
        <v>#DIV/0!</v>
      </c>
      <c r="N46" s="149"/>
      <c r="O46" s="134"/>
    </row>
    <row r="47" spans="2:16" s="122" customFormat="1" ht="15" hidden="1" customHeight="1">
      <c r="B47" s="99" t="s">
        <v>69</v>
      </c>
      <c r="C47" s="93"/>
      <c r="D47" s="93"/>
      <c r="E47" s="93"/>
      <c r="F47" s="124"/>
      <c r="G47" s="49">
        <f t="shared" si="3"/>
        <v>0</v>
      </c>
      <c r="H47" s="49"/>
      <c r="I47" s="49"/>
      <c r="J47" s="49"/>
      <c r="K47" s="49"/>
      <c r="L47" s="119" t="e">
        <f>M47</f>
        <v>#DIV/0!</v>
      </c>
      <c r="M47" s="74" t="e">
        <f t="shared" si="2"/>
        <v>#DIV/0!</v>
      </c>
      <c r="N47" s="18"/>
      <c r="O47" s="19"/>
    </row>
    <row r="48" spans="2:16" s="128" customFormat="1" ht="15" hidden="1" customHeight="1">
      <c r="B48" s="99" t="s">
        <v>70</v>
      </c>
      <c r="C48" s="164"/>
      <c r="D48" s="164"/>
      <c r="E48" s="164"/>
      <c r="F48" s="164"/>
      <c r="G48" s="49">
        <f t="shared" si="3"/>
        <v>0</v>
      </c>
      <c r="H48" s="49"/>
      <c r="I48" s="49"/>
      <c r="J48" s="49"/>
      <c r="K48" s="49"/>
      <c r="L48" s="165" t="e">
        <f>M48</f>
        <v>#DIV/0!</v>
      </c>
      <c r="M48" s="74" t="e">
        <f t="shared" si="2"/>
        <v>#DIV/0!</v>
      </c>
      <c r="N48" s="149"/>
      <c r="O48" s="134"/>
    </row>
    <row r="49" spans="1:15" s="115" customFormat="1" ht="18" customHeight="1">
      <c r="B49" s="120" t="s">
        <v>71</v>
      </c>
      <c r="C49" s="121"/>
      <c r="D49" s="121"/>
      <c r="E49" s="121"/>
      <c r="F49" s="121"/>
      <c r="G49" s="49">
        <f t="shared" si="3"/>
        <v>63504</v>
      </c>
      <c r="H49" s="49">
        <f>SUM(H50:H53)</f>
        <v>7056</v>
      </c>
      <c r="I49" s="49">
        <f>SUM(I50:I53)</f>
        <v>21168</v>
      </c>
      <c r="J49" s="49">
        <f>SUM(J50:J53)</f>
        <v>21168</v>
      </c>
      <c r="K49" s="49">
        <f>SUM(K50:K53)</f>
        <v>14112</v>
      </c>
      <c r="L49" s="119" t="e">
        <f>L50+L51+L52</f>
        <v>#DIV/0!</v>
      </c>
      <c r="M49" s="74" t="e">
        <f t="shared" si="2"/>
        <v>#DIV/0!</v>
      </c>
      <c r="N49" s="36"/>
      <c r="O49" s="32"/>
    </row>
    <row r="50" spans="1:15" s="122" customFormat="1" ht="32.25" customHeight="1">
      <c r="B50" s="9" t="s">
        <v>72</v>
      </c>
      <c r="C50" s="9"/>
      <c r="D50" s="9"/>
      <c r="E50" s="167">
        <v>0.05</v>
      </c>
      <c r="F50" s="93"/>
      <c r="G50" s="49">
        <f t="shared" si="3"/>
        <v>50400</v>
      </c>
      <c r="H50" s="49">
        <f>H21*5%</f>
        <v>5600</v>
      </c>
      <c r="I50" s="49">
        <f>I21*5%</f>
        <v>16800</v>
      </c>
      <c r="J50" s="49">
        <f>J21*5%</f>
        <v>16800</v>
      </c>
      <c r="K50" s="49">
        <f>K21*5%</f>
        <v>11200</v>
      </c>
      <c r="L50" s="165" t="e">
        <f>M50</f>
        <v>#DIV/0!</v>
      </c>
      <c r="M50" s="74" t="e">
        <f t="shared" si="2"/>
        <v>#DIV/0!</v>
      </c>
      <c r="N50" s="82">
        <f>G50/G21</f>
        <v>0.05</v>
      </c>
      <c r="O50" s="19"/>
    </row>
    <row r="51" spans="1:15" s="122" customFormat="1" ht="18.75" customHeight="1">
      <c r="B51" s="99" t="s">
        <v>73</v>
      </c>
      <c r="C51" s="105"/>
      <c r="D51" s="105"/>
      <c r="E51" s="168">
        <v>1.2999999999999999E-2</v>
      </c>
      <c r="F51" s="169"/>
      <c r="G51" s="49">
        <f t="shared" si="3"/>
        <v>13104</v>
      </c>
      <c r="H51" s="49">
        <f>H21*1.3%</f>
        <v>1456.0000000000002</v>
      </c>
      <c r="I51" s="49">
        <f>I21*1.3%</f>
        <v>4368</v>
      </c>
      <c r="J51" s="49">
        <f>J21*1.3%</f>
        <v>4368</v>
      </c>
      <c r="K51" s="49">
        <f>K21*1.3%</f>
        <v>2912.0000000000005</v>
      </c>
      <c r="L51" s="100">
        <f>G51/7296</f>
        <v>1.7960526315789473</v>
      </c>
      <c r="M51" s="74" t="e">
        <f t="shared" si="2"/>
        <v>#DIV/0!</v>
      </c>
      <c r="N51" s="82">
        <f>G51/G21</f>
        <v>1.2999999999999999E-2</v>
      </c>
      <c r="O51" s="19"/>
    </row>
    <row r="52" spans="1:15" s="122" customFormat="1" ht="15" hidden="1" customHeight="1">
      <c r="B52" s="99" t="s">
        <v>74</v>
      </c>
      <c r="C52" s="161"/>
      <c r="D52" s="161"/>
      <c r="E52" s="161"/>
      <c r="F52" s="161"/>
      <c r="G52" s="49">
        <f t="shared" si="3"/>
        <v>0</v>
      </c>
      <c r="H52" s="49"/>
      <c r="I52" s="49"/>
      <c r="J52" s="49"/>
      <c r="K52" s="49"/>
      <c r="L52" s="100">
        <f>L53</f>
        <v>0</v>
      </c>
      <c r="M52" s="74" t="e">
        <f t="shared" si="2"/>
        <v>#DIV/0!</v>
      </c>
      <c r="N52" s="18"/>
      <c r="O52" s="19"/>
    </row>
    <row r="53" spans="1:15" s="128" customFormat="1" ht="16.5" hidden="1" customHeight="1">
      <c r="B53" s="170" t="s">
        <v>75</v>
      </c>
      <c r="C53" s="171"/>
      <c r="D53" s="171"/>
      <c r="E53" s="172">
        <v>0.6</v>
      </c>
      <c r="F53" s="171"/>
      <c r="G53" s="49">
        <f t="shared" si="3"/>
        <v>0</v>
      </c>
      <c r="H53" s="49">
        <f>H21*60%-H22</f>
        <v>0</v>
      </c>
      <c r="I53" s="49">
        <f>I21*60%-I22</f>
        <v>0</v>
      </c>
      <c r="J53" s="49">
        <f>J21*60%-J22</f>
        <v>0</v>
      </c>
      <c r="K53" s="49">
        <f>K21*60%-K22</f>
        <v>0</v>
      </c>
      <c r="L53" s="173">
        <f>G53/1440</f>
        <v>0</v>
      </c>
      <c r="M53" s="74" t="e">
        <f t="shared" si="2"/>
        <v>#DIV/0!</v>
      </c>
      <c r="N53" s="149"/>
      <c r="O53" s="134"/>
    </row>
    <row r="54" spans="1:15" s="128" customFormat="1" ht="15" hidden="1" customHeight="1">
      <c r="B54" s="139"/>
      <c r="C54" s="130"/>
      <c r="D54" s="130"/>
      <c r="E54" s="130"/>
      <c r="F54" s="130"/>
      <c r="G54" s="59"/>
      <c r="H54" s="152"/>
      <c r="I54" s="152"/>
      <c r="J54" s="152"/>
      <c r="K54" s="153"/>
      <c r="L54" s="174"/>
      <c r="M54" s="74" t="e">
        <f t="shared" si="2"/>
        <v>#DIV/0!</v>
      </c>
      <c r="N54" s="149"/>
      <c r="O54" s="134"/>
    </row>
    <row r="55" spans="1:15" s="19" customFormat="1" ht="15" hidden="1" customHeight="1">
      <c r="A55" s="52"/>
      <c r="B55" s="175" t="s">
        <v>76</v>
      </c>
      <c r="C55" s="176"/>
      <c r="D55" s="176"/>
      <c r="E55" s="176"/>
      <c r="F55" s="176"/>
      <c r="G55" s="59">
        <f t="shared" ref="G55:L55" si="4">G56+G57</f>
        <v>0</v>
      </c>
      <c r="H55" s="59">
        <f t="shared" si="4"/>
        <v>0</v>
      </c>
      <c r="I55" s="59">
        <f t="shared" si="4"/>
        <v>0</v>
      </c>
      <c r="J55" s="59">
        <f t="shared" si="4"/>
        <v>0</v>
      </c>
      <c r="K55" s="59">
        <f t="shared" si="4"/>
        <v>0</v>
      </c>
      <c r="L55" s="177" t="e">
        <f t="shared" si="4"/>
        <v>#DIV/0!</v>
      </c>
      <c r="M55" s="74" t="e">
        <f t="shared" si="2"/>
        <v>#DIV/0!</v>
      </c>
      <c r="N55" s="18"/>
    </row>
    <row r="56" spans="1:15" s="19" customFormat="1" ht="15" hidden="1" customHeight="1">
      <c r="A56" s="52"/>
      <c r="B56" s="139" t="s">
        <v>77</v>
      </c>
      <c r="C56" s="178"/>
      <c r="D56" s="178"/>
      <c r="E56" s="178"/>
      <c r="F56" s="178"/>
      <c r="G56" s="49"/>
      <c r="H56" s="49"/>
      <c r="I56" s="49"/>
      <c r="J56" s="49"/>
      <c r="K56" s="49"/>
      <c r="L56" s="177" t="e">
        <f>M56</f>
        <v>#DIV/0!</v>
      </c>
      <c r="M56" s="74" t="e">
        <f t="shared" si="2"/>
        <v>#DIV/0!</v>
      </c>
      <c r="N56" s="18"/>
    </row>
    <row r="57" spans="1:15" s="19" customFormat="1" ht="15" hidden="1" customHeight="1">
      <c r="A57" s="52"/>
      <c r="B57" s="155" t="s">
        <v>78</v>
      </c>
      <c r="C57" s="179"/>
      <c r="D57" s="179"/>
      <c r="E57" s="179"/>
      <c r="F57" s="180"/>
      <c r="G57" s="58">
        <f t="shared" ref="G57:G72" si="5">SUM(H57:K57)</f>
        <v>0</v>
      </c>
      <c r="H57" s="58"/>
      <c r="I57" s="181"/>
      <c r="J57" s="58"/>
      <c r="K57" s="182"/>
      <c r="L57" s="174" t="e">
        <f>M57</f>
        <v>#DIV/0!</v>
      </c>
      <c r="M57" s="74" t="e">
        <f t="shared" si="2"/>
        <v>#DIV/0!</v>
      </c>
      <c r="N57" s="18"/>
    </row>
    <row r="58" spans="1:15" s="19" customFormat="1" ht="15" hidden="1" customHeight="1">
      <c r="A58" s="52"/>
      <c r="B58" s="183"/>
      <c r="C58" s="184"/>
      <c r="D58" s="184"/>
      <c r="E58" s="184"/>
      <c r="F58" s="184"/>
      <c r="G58" s="185">
        <f t="shared" si="5"/>
        <v>0</v>
      </c>
      <c r="H58" s="185"/>
      <c r="I58" s="185"/>
      <c r="J58" s="185"/>
      <c r="K58" s="185"/>
      <c r="L58" s="186">
        <f>G58/7296</f>
        <v>0</v>
      </c>
      <c r="M58" s="74" t="e">
        <f t="shared" si="2"/>
        <v>#DIV/0!</v>
      </c>
      <c r="N58" s="18"/>
    </row>
    <row r="59" spans="1:15" s="19" customFormat="1" ht="24.95" customHeight="1">
      <c r="A59" s="52"/>
      <c r="B59" s="187" t="s">
        <v>79</v>
      </c>
      <c r="C59" s="188"/>
      <c r="D59" s="188"/>
      <c r="E59" s="188"/>
      <c r="F59" s="188"/>
      <c r="G59" s="113">
        <f t="shared" si="5"/>
        <v>238896</v>
      </c>
      <c r="H59" s="113">
        <f>H66+H60</f>
        <v>26544</v>
      </c>
      <c r="I59" s="113">
        <f>I66+I60</f>
        <v>79632</v>
      </c>
      <c r="J59" s="113">
        <f>J66+J60</f>
        <v>79632</v>
      </c>
      <c r="K59" s="113">
        <f>K66+K60</f>
        <v>53088</v>
      </c>
      <c r="L59" s="189" t="e">
        <f>L66+L60</f>
        <v>#DIV/0!</v>
      </c>
      <c r="M59" s="74" t="e">
        <f t="shared" si="2"/>
        <v>#DIV/0!</v>
      </c>
      <c r="N59" s="82">
        <f>G59/G21</f>
        <v>0.23699999999999999</v>
      </c>
    </row>
    <row r="60" spans="1:15" s="32" customFormat="1" ht="17.25" customHeight="1">
      <c r="B60" s="190" t="s">
        <v>80</v>
      </c>
      <c r="C60" s="117"/>
      <c r="D60" s="117"/>
      <c r="E60" s="117"/>
      <c r="F60" s="117"/>
      <c r="G60" s="191">
        <f t="shared" si="5"/>
        <v>238896</v>
      </c>
      <c r="H60" s="191">
        <f>H61</f>
        <v>26544</v>
      </c>
      <c r="I60" s="191">
        <f>I61</f>
        <v>79632</v>
      </c>
      <c r="J60" s="191">
        <f>J61</f>
        <v>79632</v>
      </c>
      <c r="K60" s="191">
        <f>K61</f>
        <v>53088</v>
      </c>
      <c r="L60" s="192" t="e">
        <f>M60</f>
        <v>#DIV/0!</v>
      </c>
      <c r="M60" s="74" t="e">
        <f t="shared" si="2"/>
        <v>#DIV/0!</v>
      </c>
      <c r="N60" s="36"/>
    </row>
    <row r="61" spans="1:15" s="160" customFormat="1" ht="17.25" customHeight="1">
      <c r="B61" s="99" t="s">
        <v>81</v>
      </c>
      <c r="C61" s="93"/>
      <c r="D61" s="93"/>
      <c r="E61" s="93"/>
      <c r="F61" s="93"/>
      <c r="G61" s="49">
        <f t="shared" si="5"/>
        <v>238896</v>
      </c>
      <c r="H61" s="49">
        <f>H21*23.7%</f>
        <v>26544</v>
      </c>
      <c r="I61" s="49">
        <f>I21*23.7%</f>
        <v>79632</v>
      </c>
      <c r="J61" s="49">
        <f>J21*23.7%</f>
        <v>79632</v>
      </c>
      <c r="K61" s="49">
        <f>K21*23.7%</f>
        <v>53088</v>
      </c>
      <c r="L61" s="192" t="e">
        <f>G61/$N$10</f>
        <v>#DIV/0!</v>
      </c>
      <c r="M61" s="74" t="e">
        <f t="shared" si="2"/>
        <v>#DIV/0!</v>
      </c>
      <c r="N61" s="36"/>
      <c r="O61" s="32"/>
    </row>
    <row r="62" spans="1:15" s="160" customFormat="1" ht="17.25" hidden="1" customHeight="1">
      <c r="B62" s="99" t="s">
        <v>82</v>
      </c>
      <c r="C62" s="93"/>
      <c r="D62" s="93"/>
      <c r="E62" s="93"/>
      <c r="F62" s="93"/>
      <c r="G62" s="49">
        <f t="shared" si="5"/>
        <v>0</v>
      </c>
      <c r="H62" s="49"/>
      <c r="I62" s="49"/>
      <c r="J62" s="49"/>
      <c r="K62" s="49"/>
      <c r="L62" s="193" t="e">
        <f>G62/$N$10</f>
        <v>#DIV/0!</v>
      </c>
      <c r="M62" s="74" t="e">
        <f t="shared" si="2"/>
        <v>#DIV/0!</v>
      </c>
      <c r="N62" s="36"/>
      <c r="O62" s="32"/>
    </row>
    <row r="63" spans="1:15" s="160" customFormat="1" ht="17.25" hidden="1" customHeight="1">
      <c r="B63" s="144" t="s">
        <v>83</v>
      </c>
      <c r="C63" s="161"/>
      <c r="D63" s="161"/>
      <c r="E63" s="161"/>
      <c r="F63" s="161"/>
      <c r="G63" s="49">
        <f t="shared" si="5"/>
        <v>0</v>
      </c>
      <c r="H63" s="49"/>
      <c r="I63" s="49"/>
      <c r="J63" s="49"/>
      <c r="K63" s="49"/>
      <c r="L63" s="193"/>
      <c r="M63" s="74"/>
      <c r="N63" s="36"/>
      <c r="O63" s="32"/>
    </row>
    <row r="64" spans="1:15" s="122" customFormat="1" ht="17.25" hidden="1" customHeight="1">
      <c r="B64" s="144" t="s">
        <v>84</v>
      </c>
      <c r="C64" s="161"/>
      <c r="D64" s="161"/>
      <c r="E64" s="161"/>
      <c r="F64" s="161"/>
      <c r="G64" s="49">
        <f t="shared" si="5"/>
        <v>0</v>
      </c>
      <c r="H64" s="49"/>
      <c r="I64" s="49"/>
      <c r="J64" s="49"/>
      <c r="K64" s="49"/>
      <c r="L64" s="193" t="e">
        <f>M64</f>
        <v>#DIV/0!</v>
      </c>
      <c r="M64" s="74" t="e">
        <f t="shared" ref="M64:M72" si="6">G64/$N$10</f>
        <v>#DIV/0!</v>
      </c>
      <c r="N64" s="18"/>
      <c r="O64" s="19"/>
    </row>
    <row r="65" spans="2:15" s="122" customFormat="1" ht="17.25" hidden="1" customHeight="1">
      <c r="B65" s="99" t="s">
        <v>85</v>
      </c>
      <c r="C65" s="93"/>
      <c r="D65" s="93"/>
      <c r="E65" s="93"/>
      <c r="F65" s="93"/>
      <c r="G65" s="49">
        <f t="shared" si="5"/>
        <v>0</v>
      </c>
      <c r="H65" s="49"/>
      <c r="I65" s="49"/>
      <c r="J65" s="49"/>
      <c r="K65" s="49"/>
      <c r="L65" s="193" t="e">
        <f>G65/$N$10</f>
        <v>#DIV/0!</v>
      </c>
      <c r="M65" s="74" t="e">
        <f t="shared" si="6"/>
        <v>#DIV/0!</v>
      </c>
      <c r="N65" s="18"/>
      <c r="O65" s="19"/>
    </row>
    <row r="66" spans="2:15" s="115" customFormat="1" ht="16.5" hidden="1" customHeight="1">
      <c r="B66" s="120" t="s">
        <v>86</v>
      </c>
      <c r="C66" s="121"/>
      <c r="D66" s="121"/>
      <c r="E66" s="121"/>
      <c r="F66" s="121"/>
      <c r="G66" s="49">
        <f t="shared" si="5"/>
        <v>0</v>
      </c>
      <c r="H66" s="49"/>
      <c r="I66" s="49"/>
      <c r="J66" s="49"/>
      <c r="K66" s="49"/>
      <c r="L66" s="192" t="e">
        <f>L68+L69+L70</f>
        <v>#DIV/0!</v>
      </c>
      <c r="M66" s="74" t="e">
        <f t="shared" si="6"/>
        <v>#DIV/0!</v>
      </c>
      <c r="N66" s="36"/>
      <c r="O66" s="32"/>
    </row>
    <row r="67" spans="2:15" s="160" customFormat="1" ht="15" hidden="1" customHeight="1">
      <c r="B67" s="99" t="s">
        <v>87</v>
      </c>
      <c r="C67" s="194"/>
      <c r="D67" s="194"/>
      <c r="E67" s="194"/>
      <c r="F67" s="194"/>
      <c r="G67" s="49">
        <f t="shared" si="5"/>
        <v>0</v>
      </c>
      <c r="H67" s="49"/>
      <c r="I67" s="49"/>
      <c r="J67" s="49"/>
      <c r="K67" s="49"/>
      <c r="L67" s="193" t="e">
        <f>G67/$N$10</f>
        <v>#DIV/0!</v>
      </c>
      <c r="M67" s="74" t="e">
        <f t="shared" si="6"/>
        <v>#DIV/0!</v>
      </c>
      <c r="N67" s="36"/>
      <c r="O67" s="32"/>
    </row>
    <row r="68" spans="2:15" s="160" customFormat="1" ht="15" hidden="1" customHeight="1">
      <c r="B68" s="99" t="s">
        <v>88</v>
      </c>
      <c r="C68" s="93"/>
      <c r="D68" s="93"/>
      <c r="E68" s="93"/>
      <c r="F68" s="93"/>
      <c r="G68" s="49">
        <f t="shared" si="5"/>
        <v>0</v>
      </c>
      <c r="H68" s="49"/>
      <c r="I68" s="49"/>
      <c r="J68" s="49"/>
      <c r="K68" s="49"/>
      <c r="L68" s="193" t="e">
        <f>G68/$N$10</f>
        <v>#DIV/0!</v>
      </c>
      <c r="M68" s="74" t="e">
        <f t="shared" si="6"/>
        <v>#DIV/0!</v>
      </c>
      <c r="N68" s="36"/>
      <c r="O68" s="32"/>
    </row>
    <row r="69" spans="2:15" s="122" customFormat="1" ht="15" hidden="1" customHeight="1">
      <c r="B69" s="99" t="s">
        <v>89</v>
      </c>
      <c r="C69" s="93"/>
      <c r="D69" s="93"/>
      <c r="E69" s="93"/>
      <c r="F69" s="93"/>
      <c r="G69" s="49">
        <f t="shared" si="5"/>
        <v>0</v>
      </c>
      <c r="H69" s="49"/>
      <c r="I69" s="49"/>
      <c r="J69" s="49"/>
      <c r="K69" s="49"/>
      <c r="L69" s="193" t="e">
        <f>G69/$N$10</f>
        <v>#DIV/0!</v>
      </c>
      <c r="M69" s="74" t="e">
        <f t="shared" si="6"/>
        <v>#DIV/0!</v>
      </c>
      <c r="N69" s="18"/>
      <c r="O69" s="19"/>
    </row>
    <row r="70" spans="2:15" s="122" customFormat="1" ht="15" hidden="1" customHeight="1">
      <c r="B70" s="99" t="s">
        <v>90</v>
      </c>
      <c r="C70" s="93"/>
      <c r="D70" s="93"/>
      <c r="E70" s="93"/>
      <c r="F70" s="93"/>
      <c r="G70" s="49">
        <f t="shared" si="5"/>
        <v>0</v>
      </c>
      <c r="H70" s="49">
        <f>SUM(H71:H76)</f>
        <v>0</v>
      </c>
      <c r="I70" s="49">
        <f>SUM(I71:I76)</f>
        <v>0</v>
      </c>
      <c r="J70" s="49">
        <f>SUM(J71:J76)</f>
        <v>0</v>
      </c>
      <c r="K70" s="49">
        <f>SUM(K71:K76)</f>
        <v>0</v>
      </c>
      <c r="L70" s="177" t="e">
        <f>SUM(L71:L76)</f>
        <v>#DIV/0!</v>
      </c>
      <c r="M70" s="74" t="e">
        <f t="shared" si="6"/>
        <v>#DIV/0!</v>
      </c>
      <c r="N70" s="18"/>
      <c r="O70" s="19"/>
    </row>
    <row r="71" spans="2:15" s="122" customFormat="1" ht="15" hidden="1" customHeight="1">
      <c r="B71" s="195" t="s">
        <v>91</v>
      </c>
      <c r="C71" s="196"/>
      <c r="D71" s="196"/>
      <c r="E71" s="196"/>
      <c r="F71" s="197"/>
      <c r="G71" s="49">
        <f t="shared" si="5"/>
        <v>0</v>
      </c>
      <c r="H71" s="49"/>
      <c r="I71" s="49"/>
      <c r="J71" s="49"/>
      <c r="K71" s="49"/>
      <c r="L71" s="165" t="e">
        <f>M71</f>
        <v>#DIV/0!</v>
      </c>
      <c r="M71" s="74" t="e">
        <f t="shared" si="6"/>
        <v>#DIV/0!</v>
      </c>
      <c r="N71" s="18"/>
      <c r="O71" s="19"/>
    </row>
    <row r="72" spans="2:15" s="122" customFormat="1" ht="16.5" hidden="1" customHeight="1">
      <c r="B72" s="144" t="s">
        <v>92</v>
      </c>
      <c r="C72" s="161"/>
      <c r="D72" s="161"/>
      <c r="E72" s="161"/>
      <c r="F72" s="198"/>
      <c r="G72" s="153">
        <f t="shared" si="5"/>
        <v>0</v>
      </c>
      <c r="H72" s="49"/>
      <c r="I72" s="49"/>
      <c r="J72" s="49"/>
      <c r="K72" s="49"/>
      <c r="L72" s="106" t="e">
        <f>M72</f>
        <v>#DIV/0!</v>
      </c>
      <c r="M72" s="74" t="e">
        <f t="shared" si="6"/>
        <v>#DIV/0!</v>
      </c>
      <c r="N72" s="18"/>
      <c r="O72" s="19"/>
    </row>
    <row r="73" spans="2:15" s="122" customFormat="1" ht="15" hidden="1" customHeight="1">
      <c r="B73" s="144" t="s">
        <v>93</v>
      </c>
      <c r="C73" s="161"/>
      <c r="D73" s="161"/>
      <c r="E73" s="161"/>
      <c r="F73" s="198"/>
      <c r="G73" s="49">
        <f>+H73+I73+J73+K73</f>
        <v>0</v>
      </c>
      <c r="H73" s="49"/>
      <c r="I73" s="49"/>
      <c r="J73" s="49"/>
      <c r="K73" s="49"/>
      <c r="L73" s="199" t="e">
        <f>L21-L72-L27</f>
        <v>#DIV/0!</v>
      </c>
      <c r="M73" s="17" t="e">
        <f>G76/$N$10</f>
        <v>#DIV/0!</v>
      </c>
      <c r="N73" s="18"/>
      <c r="O73" s="19"/>
    </row>
    <row r="74" spans="2:15" s="122" customFormat="1" ht="15" hidden="1" customHeight="1">
      <c r="B74" s="99" t="s">
        <v>94</v>
      </c>
      <c r="C74" s="93"/>
      <c r="D74" s="93"/>
      <c r="E74" s="93"/>
      <c r="F74" s="200"/>
      <c r="G74" s="49">
        <f>SUM(H74:K74)</f>
        <v>0</v>
      </c>
      <c r="H74" s="49"/>
      <c r="I74" s="49"/>
      <c r="J74" s="49"/>
      <c r="K74" s="49"/>
      <c r="L74" s="193" t="e">
        <f>M74</f>
        <v>#DIV/0!</v>
      </c>
      <c r="M74" s="17" t="e">
        <f>G74/$N$10</f>
        <v>#DIV/0!</v>
      </c>
      <c r="N74" s="18"/>
      <c r="O74" s="19"/>
    </row>
    <row r="75" spans="2:15" s="122" customFormat="1" ht="15" hidden="1" customHeight="1">
      <c r="B75" s="99" t="s">
        <v>95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19">
        <f>M75</f>
        <v>0</v>
      </c>
      <c r="M75" s="17"/>
      <c r="N75" s="18"/>
      <c r="O75" s="19"/>
    </row>
    <row r="76" spans="2:15" s="122" customFormat="1" ht="15" hidden="1" customHeight="1">
      <c r="B76" s="99" t="s">
        <v>96</v>
      </c>
      <c r="C76" s="93"/>
      <c r="D76" s="93"/>
      <c r="E76" s="93"/>
      <c r="F76" s="200"/>
      <c r="G76" s="49">
        <f>SUM(H76:K76)</f>
        <v>0</v>
      </c>
      <c r="H76" s="49"/>
      <c r="I76" s="49"/>
      <c r="J76" s="49"/>
      <c r="K76" s="49"/>
      <c r="L76" s="193">
        <f>M76</f>
        <v>0</v>
      </c>
      <c r="M76" s="17"/>
      <c r="N76" s="18"/>
      <c r="O76" s="19"/>
    </row>
    <row r="77" spans="2:15" s="128" customFormat="1" ht="15" hidden="1" customHeight="1">
      <c r="B77" s="170" t="s">
        <v>97</v>
      </c>
      <c r="C77" s="171"/>
      <c r="D77" s="171"/>
      <c r="E77" s="171"/>
      <c r="F77" s="171"/>
      <c r="G77" s="49">
        <f>SUM(H77:K77)</f>
        <v>0</v>
      </c>
      <c r="H77" s="49"/>
      <c r="I77" s="49"/>
      <c r="J77" s="49"/>
      <c r="K77" s="49"/>
      <c r="L77" s="119">
        <f>G77/7296</f>
        <v>0</v>
      </c>
      <c r="M77" s="17">
        <f>G77/7296</f>
        <v>0</v>
      </c>
      <c r="N77" s="149"/>
      <c r="O77" s="134"/>
    </row>
    <row r="78" spans="2:15" ht="36.75" customHeight="1">
      <c r="B78" s="23" t="s">
        <v>98</v>
      </c>
      <c r="C78" s="23"/>
      <c r="D78" s="23"/>
      <c r="E78" s="201"/>
      <c r="F78" s="23" t="s">
        <v>99</v>
      </c>
      <c r="G78" s="202"/>
      <c r="H78" s="20"/>
      <c r="I78" s="51"/>
      <c r="J78" s="20"/>
      <c r="K78" s="20"/>
      <c r="L78" s="203"/>
    </row>
    <row r="79" spans="2:15" ht="24.75" customHeight="1">
      <c r="B79" s="19" t="s">
        <v>100</v>
      </c>
      <c r="C79" s="19"/>
      <c r="D79" s="19"/>
      <c r="E79" s="204"/>
      <c r="F79" s="205" t="str">
        <f>' (смета)'!F82</f>
        <v>А.Р. Саттарова</v>
      </c>
      <c r="G79" s="206"/>
      <c r="H79" s="20"/>
      <c r="I79" s="20"/>
      <c r="J79" s="20"/>
      <c r="K79" s="20"/>
      <c r="L79" s="207" t="e">
        <f>L21-L23-L28-L29-L30-L43-L44-L49-L55-L59</f>
        <v>#DIV/0!</v>
      </c>
    </row>
    <row r="80" spans="2:15" ht="24.75" customHeight="1">
      <c r="B80" s="19"/>
      <c r="C80" s="19"/>
      <c r="D80" s="19"/>
      <c r="E80" s="19"/>
      <c r="F80" s="19"/>
      <c r="G80" s="20"/>
      <c r="H80" s="20"/>
      <c r="I80" s="20"/>
      <c r="J80" s="20"/>
      <c r="K80" s="208"/>
      <c r="L80" s="207"/>
    </row>
    <row r="81" spans="2:13" ht="24.75" hidden="1" customHeight="1">
      <c r="B81" s="19"/>
      <c r="C81" s="19"/>
      <c r="D81" s="19"/>
      <c r="E81" s="19"/>
      <c r="F81" s="19"/>
      <c r="G81" s="20"/>
      <c r="H81" s="20"/>
      <c r="I81" s="20"/>
      <c r="J81" s="20"/>
      <c r="K81" s="208"/>
      <c r="L81" s="207"/>
    </row>
    <row r="82" spans="2:13" ht="18.75" customHeight="1">
      <c r="B82" s="19"/>
      <c r="C82" s="19"/>
      <c r="D82" s="19"/>
      <c r="E82" s="52"/>
      <c r="F82" s="209"/>
      <c r="H82" s="209"/>
      <c r="I82" s="210"/>
      <c r="J82" s="20"/>
      <c r="K82" s="20"/>
    </row>
    <row r="83" spans="2:13" ht="12.75" customHeight="1">
      <c r="I83" s="210"/>
      <c r="J83" s="20"/>
      <c r="K83" s="20"/>
    </row>
    <row r="84" spans="2:13" ht="18.75" customHeight="1">
      <c r="I84" s="210"/>
      <c r="J84" s="20"/>
      <c r="K84" s="20"/>
    </row>
    <row r="85" spans="2:13" ht="12.75" customHeight="1">
      <c r="I85" s="210"/>
      <c r="L85" s="211" t="e">
        <f>L23+L28+L30+L44+L49+L55+L59+L29+L25</f>
        <v>#DIV/0!</v>
      </c>
      <c r="M85" s="212" t="e">
        <f>M23+M28+M30+M44+M49+M55+M59+M29+M25</f>
        <v>#DIV/0!</v>
      </c>
    </row>
    <row r="86" spans="2:13" ht="12.75" customHeight="1">
      <c r="I86" s="210"/>
    </row>
    <row r="87" spans="2:13" ht="12.75" customHeight="1">
      <c r="C87" s="213"/>
      <c r="L87" s="214"/>
    </row>
    <row r="88" spans="2:13" ht="12.75" customHeight="1">
      <c r="I88" s="210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  <row r="95" spans="2:13" ht="12.75" customHeight="1">
      <c r="I95" s="210"/>
    </row>
  </sheetData>
  <mergeCells count="8">
    <mergeCell ref="B50:D50"/>
    <mergeCell ref="B2:K2"/>
    <mergeCell ref="B3:K3"/>
    <mergeCell ref="P3:S3"/>
    <mergeCell ref="B7:D7"/>
    <mergeCell ref="H19:I19"/>
    <mergeCell ref="J19:K19"/>
    <mergeCell ref="N19:N20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2:IW51"/>
  <sheetViews>
    <sheetView view="pageBreakPreview" zoomScale="80" zoomScaleNormal="100" zoomScalePageLayoutView="80" workbookViewId="0">
      <selection activeCell="D7" sqref="D7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44.140625" style="15" customWidth="1"/>
    <col min="4" max="4" width="17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8"/>
      <c r="F9" s="19"/>
      <c r="G9" s="19"/>
    </row>
    <row r="10" spans="2:10" ht="18.75">
      <c r="B10" s="261"/>
      <c r="C10" s="18" t="str">
        <f>' (смета) (2)'!E7</f>
        <v>"Групповые занятия 3-5 лет"</v>
      </c>
      <c r="D10" s="261"/>
      <c r="E10" s="261" t="s">
        <v>178</v>
      </c>
      <c r="F10" s="115"/>
      <c r="G10" s="19"/>
    </row>
    <row r="11" spans="2:10" ht="15.75">
      <c r="B11" s="3" t="str">
        <f>' (смета)'!B3:K3</f>
        <v xml:space="preserve">                 На  2024-2025 учебный год  (сентябрь -май)</v>
      </c>
      <c r="C11" s="3"/>
      <c r="D11" s="3"/>
      <c r="E11" s="3"/>
      <c r="F11" s="19"/>
      <c r="G11" s="19"/>
    </row>
    <row r="12" spans="2:10" ht="24.75" customHeight="1">
      <c r="B12" s="223" t="s">
        <v>124</v>
      </c>
      <c r="C12" s="223" t="s">
        <v>125</v>
      </c>
      <c r="D12" s="223" t="s">
        <v>126</v>
      </c>
      <c r="E12" s="239" t="s">
        <v>127</v>
      </c>
    </row>
    <row r="13" spans="2:10" ht="16.5" customHeight="1">
      <c r="B13" s="240">
        <v>1</v>
      </c>
      <c r="C13" s="241" t="s">
        <v>128</v>
      </c>
      <c r="D13" s="242">
        <f>SUM(D14:D23)</f>
        <v>604798</v>
      </c>
      <c r="E13" s="243">
        <f>SUM(E14:E22)</f>
        <v>0</v>
      </c>
    </row>
    <row r="14" spans="2:10" ht="15.75">
      <c r="B14" s="244" t="s">
        <v>129</v>
      </c>
      <c r="C14" s="245" t="s">
        <v>3</v>
      </c>
      <c r="D14" s="49">
        <f>'резерв отпускных (2)'!D14</f>
        <v>409027.85423318291</v>
      </c>
      <c r="E14" s="246"/>
    </row>
    <row r="15" spans="2:10" ht="15.75">
      <c r="B15" s="244" t="s">
        <v>130</v>
      </c>
      <c r="C15" s="245" t="s">
        <v>131</v>
      </c>
      <c r="D15" s="49">
        <f>'резерв отпускных (2)'!D15</f>
        <v>123526.41197842124</v>
      </c>
      <c r="E15" s="246"/>
    </row>
    <row r="16" spans="2:10" ht="15.75">
      <c r="B16" s="244" t="s">
        <v>132</v>
      </c>
      <c r="C16" s="245" t="s">
        <v>133</v>
      </c>
      <c r="D16" s="49">
        <f>'резерв отпускных (2)'!D13-1</f>
        <v>72243.733788395912</v>
      </c>
      <c r="E16" s="246"/>
    </row>
    <row r="17" spans="2:5" ht="15.75" hidden="1">
      <c r="B17" s="244" t="s">
        <v>134</v>
      </c>
      <c r="C17" s="245"/>
      <c r="D17" s="247"/>
      <c r="E17" s="246"/>
    </row>
    <row r="18" spans="2:5" ht="15.75" hidden="1">
      <c r="B18" s="244" t="s">
        <v>135</v>
      </c>
      <c r="C18" s="245"/>
      <c r="D18" s="247"/>
      <c r="E18" s="246"/>
    </row>
    <row r="19" spans="2:5" ht="15.75" hidden="1">
      <c r="B19" s="244" t="s">
        <v>136</v>
      </c>
      <c r="C19" s="245"/>
      <c r="D19" s="247"/>
      <c r="E19" s="246"/>
    </row>
    <row r="20" spans="2:5" ht="15.75" hidden="1">
      <c r="B20" s="244" t="s">
        <v>137</v>
      </c>
      <c r="C20" s="245"/>
      <c r="D20" s="247"/>
      <c r="E20" s="246"/>
    </row>
    <row r="21" spans="2:5" ht="25.5" hidden="1" customHeight="1">
      <c r="B21" s="244" t="s">
        <v>138</v>
      </c>
      <c r="C21" s="245"/>
      <c r="D21" s="245"/>
      <c r="E21" s="246"/>
    </row>
    <row r="22" spans="2:5" ht="15.75" hidden="1">
      <c r="B22" s="244" t="s">
        <v>139</v>
      </c>
      <c r="C22" s="245"/>
      <c r="D22" s="245"/>
      <c r="E22" s="246"/>
    </row>
    <row r="23" spans="2:5" ht="15.75" hidden="1">
      <c r="B23" s="60"/>
      <c r="C23" s="245"/>
      <c r="D23" s="247"/>
      <c r="E23" s="246"/>
    </row>
    <row r="24" spans="2:5" ht="15.75">
      <c r="B24" s="240">
        <v>2</v>
      </c>
      <c r="C24" s="241" t="s">
        <v>140</v>
      </c>
      <c r="D24" s="248">
        <f>D25+D36+D41+D42+D40+D39+D37+D38</f>
        <v>403200</v>
      </c>
      <c r="E24" s="243">
        <f>E25+E36+E39+E40+E41+E42</f>
        <v>0</v>
      </c>
    </row>
    <row r="25" spans="2:5" ht="31.5" hidden="1">
      <c r="B25" s="244" t="s">
        <v>141</v>
      </c>
      <c r="C25" s="249" t="s">
        <v>142</v>
      </c>
      <c r="D25" s="49">
        <f>D26+D35</f>
        <v>0</v>
      </c>
      <c r="E25" s="246">
        <f>E26+E35</f>
        <v>0</v>
      </c>
    </row>
    <row r="26" spans="2:5" ht="15.75" hidden="1">
      <c r="B26" s="244" t="s">
        <v>143</v>
      </c>
      <c r="C26" s="143" t="s">
        <v>3</v>
      </c>
      <c r="D26" s="49">
        <f>SUM(D27:D34)</f>
        <v>0</v>
      </c>
      <c r="E26" s="246">
        <f>SUM(E27:E34)</f>
        <v>0</v>
      </c>
    </row>
    <row r="27" spans="2:5" ht="15.75" hidden="1">
      <c r="B27" s="244"/>
      <c r="C27" s="143" t="s">
        <v>144</v>
      </c>
      <c r="D27" s="49"/>
      <c r="E27" s="246"/>
    </row>
    <row r="28" spans="2:5" ht="15.75" hidden="1">
      <c r="B28" s="244"/>
      <c r="C28" s="143" t="s">
        <v>145</v>
      </c>
      <c r="D28" s="247"/>
      <c r="E28" s="246"/>
    </row>
    <row r="29" spans="2:5" ht="15.75" hidden="1">
      <c r="B29" s="244"/>
      <c r="C29" s="143" t="s">
        <v>146</v>
      </c>
      <c r="D29" s="247"/>
      <c r="E29" s="246"/>
    </row>
    <row r="30" spans="2:5" ht="15.75" hidden="1">
      <c r="B30" s="244"/>
      <c r="C30" s="143" t="s">
        <v>147</v>
      </c>
      <c r="D30" s="247"/>
      <c r="E30" s="246"/>
    </row>
    <row r="31" spans="2:5" ht="15.75" hidden="1">
      <c r="B31" s="244"/>
      <c r="C31" s="143" t="s">
        <v>148</v>
      </c>
      <c r="D31" s="49">
        <f>+' (смета)'!G56/1.271</f>
        <v>0</v>
      </c>
      <c r="E31" s="246"/>
    </row>
    <row r="32" spans="2:5" ht="15.75" hidden="1">
      <c r="B32" s="244"/>
      <c r="C32" s="143" t="s">
        <v>149</v>
      </c>
      <c r="D32" s="247"/>
      <c r="E32" s="246"/>
    </row>
    <row r="33" spans="2:5" ht="15.75" hidden="1">
      <c r="B33" s="244"/>
      <c r="C33" s="143" t="s">
        <v>150</v>
      </c>
      <c r="D33" s="247"/>
      <c r="E33" s="246"/>
    </row>
    <row r="34" spans="2:5" ht="15.75" hidden="1">
      <c r="B34" s="244"/>
      <c r="C34" s="143" t="s">
        <v>151</v>
      </c>
      <c r="D34" s="247"/>
      <c r="E34" s="246"/>
    </row>
    <row r="35" spans="2:5" ht="15.75" hidden="1">
      <c r="B35" s="244" t="s">
        <v>152</v>
      </c>
      <c r="C35" s="143" t="s">
        <v>131</v>
      </c>
      <c r="D35" s="49">
        <f>D26*27.1%</f>
        <v>0</v>
      </c>
      <c r="E35" s="246">
        <f>E26*26.2%</f>
        <v>0</v>
      </c>
    </row>
    <row r="36" spans="2:5" ht="15.75">
      <c r="B36" s="244" t="s">
        <v>153</v>
      </c>
      <c r="C36" s="245" t="s">
        <v>154</v>
      </c>
      <c r="D36" s="49">
        <f>' (смета) (2)'!G30</f>
        <v>100800</v>
      </c>
      <c r="E36" s="246"/>
    </row>
    <row r="37" spans="2:5" ht="31.5" customHeight="1">
      <c r="B37" s="250" t="s">
        <v>155</v>
      </c>
      <c r="C37" s="251" t="s">
        <v>156</v>
      </c>
      <c r="D37" s="49">
        <f>' (смета) (2)'!G50</f>
        <v>50400</v>
      </c>
      <c r="E37" s="246"/>
    </row>
    <row r="38" spans="2:5" ht="16.5" customHeight="1">
      <c r="B38" s="250" t="s">
        <v>157</v>
      </c>
      <c r="C38" s="251" t="s">
        <v>158</v>
      </c>
      <c r="D38" s="49">
        <f>' (смета) (2)'!G51</f>
        <v>13104</v>
      </c>
      <c r="E38" s="246"/>
    </row>
    <row r="39" spans="2:5" ht="15.75">
      <c r="B39" s="244" t="s">
        <v>159</v>
      </c>
      <c r="C39" s="245" t="s">
        <v>160</v>
      </c>
      <c r="D39" s="49">
        <f>' (смета) (2)'!G72</f>
        <v>0</v>
      </c>
      <c r="E39" s="246"/>
    </row>
    <row r="40" spans="2:5" ht="15.75">
      <c r="B40" s="244" t="s">
        <v>161</v>
      </c>
      <c r="C40" s="99" t="s">
        <v>162</v>
      </c>
      <c r="D40" s="252">
        <f>+' (смета) (2)'!G73</f>
        <v>0</v>
      </c>
      <c r="E40" s="93"/>
    </row>
    <row r="41" spans="2:5" ht="15.75">
      <c r="B41" s="244" t="s">
        <v>163</v>
      </c>
      <c r="C41" s="245" t="s">
        <v>164</v>
      </c>
      <c r="D41" s="247">
        <f>' (смета) (2)'!G61</f>
        <v>238896</v>
      </c>
      <c r="E41" s="246"/>
    </row>
    <row r="42" spans="2:5" ht="15.75">
      <c r="B42" s="244" t="s">
        <v>165</v>
      </c>
      <c r="C42" s="249" t="s">
        <v>166</v>
      </c>
      <c r="D42" s="247">
        <f>' (смета) (2)'!G74</f>
        <v>0</v>
      </c>
      <c r="E42" s="246"/>
    </row>
    <row r="43" spans="2:5" ht="18.75" customHeight="1">
      <c r="B43" s="240">
        <v>3</v>
      </c>
      <c r="C43" s="241" t="s">
        <v>167</v>
      </c>
      <c r="D43" s="248">
        <f>D13+D24</f>
        <v>1007998</v>
      </c>
      <c r="E43" s="243">
        <f>E13+E24</f>
        <v>0</v>
      </c>
    </row>
    <row r="44" spans="2:5" ht="15.75">
      <c r="B44" s="60"/>
      <c r="C44" s="245"/>
      <c r="D44" s="247"/>
      <c r="E44" s="246"/>
    </row>
    <row r="45" spans="2:5" ht="15.75">
      <c r="B45" s="60">
        <v>4</v>
      </c>
      <c r="C45" s="245" t="s">
        <v>168</v>
      </c>
      <c r="D45" s="49">
        <f>' (смета) (2)'!E9</f>
        <v>40</v>
      </c>
      <c r="E45" s="246"/>
    </row>
    <row r="46" spans="2:5" ht="15.75">
      <c r="B46" s="60">
        <v>5</v>
      </c>
      <c r="C46" s="245" t="s">
        <v>169</v>
      </c>
      <c r="D46" s="49">
        <f>' (смета) (2)'!E14</f>
        <v>288</v>
      </c>
      <c r="E46" s="246"/>
    </row>
    <row r="47" spans="2:5" ht="15.75">
      <c r="B47" s="240">
        <v>6</v>
      </c>
      <c r="C47" s="241" t="s">
        <v>170</v>
      </c>
      <c r="D47" s="262">
        <f>D43/D45/D46</f>
        <v>87.499826388888891</v>
      </c>
      <c r="E47" s="243"/>
    </row>
    <row r="48" spans="2:5" ht="15.75">
      <c r="B48" s="19"/>
      <c r="C48" s="19"/>
      <c r="D48" s="19"/>
    </row>
    <row r="49" spans="2:8" ht="15.75">
      <c r="B49" s="19" t="s">
        <v>171</v>
      </c>
      <c r="C49" s="20" t="str">
        <f>' (смета) (2)'!F79</f>
        <v>А.Р. Саттарова</v>
      </c>
      <c r="D49" s="19"/>
      <c r="E49" s="204"/>
      <c r="F49" s="52"/>
      <c r="G49" s="2"/>
      <c r="H49" s="2"/>
    </row>
    <row r="50" spans="2:8" ht="15.75">
      <c r="B50" s="19"/>
      <c r="C50" s="19"/>
      <c r="D50" s="19"/>
      <c r="E50" s="19"/>
      <c r="F50" s="19"/>
      <c r="G50" s="20"/>
      <c r="H50" s="20"/>
    </row>
    <row r="51" spans="2:8" ht="15.75">
      <c r="B51" s="19"/>
      <c r="C51" s="19"/>
      <c r="D51" s="19"/>
      <c r="E51" s="204"/>
      <c r="F51" s="52"/>
      <c r="G51" s="8"/>
      <c r="H51" s="8"/>
    </row>
  </sheetData>
  <mergeCells count="6">
    <mergeCell ref="G51:H51"/>
    <mergeCell ref="D3:G3"/>
    <mergeCell ref="B8:D8"/>
    <mergeCell ref="B9:D9"/>
    <mergeCell ref="B11:E11"/>
    <mergeCell ref="G49:H49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2:IW20"/>
  <sheetViews>
    <sheetView view="pageBreakPreview" zoomScale="80" zoomScaleNormal="100" zoomScalePageLayoutView="80" workbookViewId="0">
      <selection activeCell="D16" sqref="D16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4.5703125" style="19" customWidth="1"/>
    <col min="6" max="7" width="9.140625" style="19"/>
    <col min="8" max="8" width="9.42578125" style="19" customWidth="1"/>
    <col min="9" max="257" width="9.140625" style="19"/>
  </cols>
  <sheetData>
    <row r="2" spans="2:7">
      <c r="B2" s="8" t="str">
        <f>' (смета) (2)'!C4</f>
        <v xml:space="preserve">Муниципальное бюджетное образовательное учреждение  дополнительного образования        </v>
      </c>
      <c r="C2" s="8"/>
      <c r="D2" s="8"/>
      <c r="E2" s="215"/>
    </row>
    <row r="3" spans="2:7">
      <c r="B3" s="7" t="str">
        <f>' (смета) (2)'!C5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 ht="15.75" customHeight="1">
      <c r="B7" s="283" t="str">
        <f>' (смета) (2)'!E7</f>
        <v>"Групповые занятия 3-5 лет"</v>
      </c>
      <c r="C7" s="283"/>
      <c r="D7" s="283"/>
      <c r="E7" s="215"/>
    </row>
    <row r="8" spans="2:7" s="32" customFormat="1">
      <c r="C8" s="220"/>
      <c r="D8" s="220"/>
      <c r="E8" s="221"/>
    </row>
    <row r="9" spans="2:7" ht="33" customHeight="1">
      <c r="B9" s="222" t="s">
        <v>104</v>
      </c>
      <c r="C9" s="223" t="s">
        <v>105</v>
      </c>
      <c r="D9" s="223" t="s">
        <v>106</v>
      </c>
      <c r="E9" s="224"/>
      <c r="F9" s="18" t="s">
        <v>107</v>
      </c>
      <c r="G9" s="18" t="s">
        <v>108</v>
      </c>
    </row>
    <row r="10" spans="2:7" ht="23.25" customHeight="1">
      <c r="B10" s="223">
        <v>1</v>
      </c>
      <c r="C10" s="225" t="s">
        <v>109</v>
      </c>
      <c r="D10" s="226">
        <f>(' (смета) (2)'!G24/9)/29.3*F10</f>
        <v>55488.274799075196</v>
      </c>
      <c r="E10" s="227"/>
      <c r="F10" s="228">
        <f>42/12*9</f>
        <v>31.5</v>
      </c>
      <c r="G10" s="228">
        <f>F10/9</f>
        <v>3.5</v>
      </c>
    </row>
    <row r="11" spans="2:7" ht="33" customHeight="1">
      <c r="B11" s="223">
        <v>2</v>
      </c>
      <c r="C11" s="229" t="s">
        <v>110</v>
      </c>
      <c r="D11" s="230">
        <f>D10*30.2%-1</f>
        <v>16756.458989320708</v>
      </c>
      <c r="E11" s="231"/>
    </row>
    <row r="12" spans="2:7" ht="33" hidden="1" customHeight="1">
      <c r="B12" s="223">
        <v>3</v>
      </c>
      <c r="C12" s="229" t="s">
        <v>111</v>
      </c>
      <c r="D12" s="230"/>
      <c r="E12" s="231"/>
    </row>
    <row r="13" spans="2:7" ht="54" customHeight="1">
      <c r="B13" s="223">
        <v>3</v>
      </c>
      <c r="C13" s="229" t="s">
        <v>112</v>
      </c>
      <c r="D13" s="230">
        <f>D10+D11-D12</f>
        <v>72244.733788395912</v>
      </c>
      <c r="E13" s="231"/>
    </row>
    <row r="14" spans="2:7" ht="33" customHeight="1">
      <c r="B14" s="223">
        <v>4</v>
      </c>
      <c r="C14" s="229" t="s">
        <v>113</v>
      </c>
      <c r="D14" s="232">
        <f>' (смета) (2)'!G24-D10</f>
        <v>409027.85423318291</v>
      </c>
      <c r="E14" s="227"/>
    </row>
    <row r="15" spans="2:7" ht="33" customHeight="1">
      <c r="B15" s="223">
        <v>5</v>
      </c>
      <c r="C15" s="229" t="s">
        <v>114</v>
      </c>
      <c r="D15" s="230">
        <f>D14*30.2%</f>
        <v>123526.41197842124</v>
      </c>
      <c r="E15" s="231"/>
    </row>
    <row r="16" spans="2:7" ht="33" customHeight="1">
      <c r="B16" s="223">
        <v>6</v>
      </c>
      <c r="C16" s="229" t="s">
        <v>115</v>
      </c>
      <c r="D16" s="230">
        <f>D14+D15</f>
        <v>532554.26621160412</v>
      </c>
      <c r="E16" s="231"/>
    </row>
    <row r="17" spans="2:5" ht="33" customHeight="1">
      <c r="B17" s="223">
        <v>7</v>
      </c>
      <c r="C17" s="229" t="s">
        <v>116</v>
      </c>
      <c r="D17" s="233">
        <f>D13/D16</f>
        <v>0.13565703698576762</v>
      </c>
      <c r="E17" s="234"/>
    </row>
    <row r="18" spans="2:5" ht="49.5" customHeight="1">
      <c r="B18" s="223">
        <v>8</v>
      </c>
      <c r="C18" s="229" t="s">
        <v>117</v>
      </c>
      <c r="D18" s="235" t="s">
        <v>118</v>
      </c>
      <c r="E18" s="236"/>
    </row>
    <row r="20" spans="2:5">
      <c r="B20" s="19" t="s">
        <v>119</v>
      </c>
      <c r="D20" s="20" t="str">
        <f>'калькуляция (2)'!C49</f>
        <v>А.Р. Саттарова</v>
      </c>
    </row>
  </sheetData>
  <mergeCells count="4">
    <mergeCell ref="B2:D2"/>
    <mergeCell ref="B3:D3"/>
    <mergeCell ref="B5:D5"/>
    <mergeCell ref="B7:D7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96"/>
  <sheetViews>
    <sheetView view="pageBreakPreview" topLeftCell="A7" zoomScale="80" zoomScaleNormal="80" zoomScalePageLayoutView="80" workbookViewId="0">
      <selection activeCell="E14" sqref="E14"/>
    </sheetView>
  </sheetViews>
  <sheetFormatPr defaultColWidth="9.140625" defaultRowHeight="15.75"/>
  <cols>
    <col min="1" max="1" width="0.7109375" style="15" customWidth="1"/>
    <col min="2" max="2" width="13.7109375" style="15" customWidth="1"/>
    <col min="3" max="3" width="11" style="15" customWidth="1"/>
    <col min="4" max="4" width="25.85546875" style="15" customWidth="1"/>
    <col min="5" max="5" width="11.42578125" style="15" customWidth="1"/>
    <col min="6" max="6" width="13.85546875" style="15" customWidth="1"/>
    <col min="7" max="7" width="13.5703125" style="16" customWidth="1"/>
    <col min="8" max="8" width="12.28515625" style="16" customWidth="1"/>
    <col min="9" max="9" width="12.5703125" style="16" customWidth="1"/>
    <col min="10" max="10" width="11.5703125" style="16" customWidth="1"/>
    <col min="11" max="11" width="12.42578125" style="16" customWidth="1"/>
    <col min="12" max="12" width="11" style="15" hidden="1" customWidth="1"/>
    <col min="13" max="13" width="11" style="17" hidden="1" customWidth="1"/>
    <col min="14" max="14" width="12.85546875" style="18" customWidth="1"/>
    <col min="15" max="15" width="9.140625" style="19"/>
    <col min="16" max="16" width="11.85546875" style="15" customWidth="1"/>
    <col min="17" max="17" width="10.85546875" style="15" customWidth="1"/>
    <col min="18" max="18" width="10.7109375" style="15" customWidth="1"/>
    <col min="19" max="19" width="12.28515625" style="15" customWidth="1"/>
    <col min="20" max="20" width="17.42578125" style="15" customWidth="1"/>
    <col min="21" max="257" width="9.140625" style="15"/>
  </cols>
  <sheetData>
    <row r="1" spans="2:20" s="19" customFormat="1" ht="12.75" customHeight="1">
      <c r="G1" s="20"/>
      <c r="H1" s="20"/>
      <c r="I1" s="20"/>
      <c r="J1" s="20"/>
      <c r="K1" s="20"/>
      <c r="M1" s="17"/>
      <c r="N1" s="18"/>
    </row>
    <row r="2" spans="2:20" s="21" customFormat="1" ht="19.5" customHeight="1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M2" s="17"/>
      <c r="N2" s="18"/>
      <c r="O2" s="19"/>
    </row>
    <row r="3" spans="2:20" s="21" customFormat="1" ht="19.5" customHeight="1">
      <c r="B3" s="14" t="str">
        <f>' (смета) (2)'!B3:K3</f>
        <v xml:space="preserve">                 На  2024-2025 учебный год  (сентябрь -май)</v>
      </c>
      <c r="C3" s="14"/>
      <c r="D3" s="14"/>
      <c r="E3" s="14"/>
      <c r="F3" s="14"/>
      <c r="G3" s="14"/>
      <c r="H3" s="14"/>
      <c r="I3" s="14"/>
      <c r="J3" s="14"/>
      <c r="K3" s="14"/>
      <c r="M3" s="17"/>
      <c r="N3" s="18"/>
      <c r="O3" s="19"/>
      <c r="P3" s="13" t="s">
        <v>2</v>
      </c>
      <c r="Q3" s="13"/>
      <c r="R3" s="13"/>
      <c r="S3" s="13"/>
      <c r="T3" s="22" t="s">
        <v>3</v>
      </c>
    </row>
    <row r="4" spans="2:20" s="19" customFormat="1" ht="16.5" customHeight="1">
      <c r="B4" s="23" t="s">
        <v>4</v>
      </c>
      <c r="C4" s="24" t="s">
        <v>5</v>
      </c>
      <c r="D4" s="25"/>
      <c r="G4" s="26"/>
      <c r="H4" s="20"/>
      <c r="I4" s="27"/>
      <c r="J4" s="27"/>
      <c r="K4" s="20"/>
      <c r="M4" s="17"/>
      <c r="N4" s="18"/>
      <c r="P4" s="28">
        <f>G22</f>
        <v>144000</v>
      </c>
      <c r="Q4" s="29">
        <f>H22+I22+J22+K22</f>
        <v>144000</v>
      </c>
      <c r="R4" s="29">
        <f>G23+G28+G60</f>
        <v>144000</v>
      </c>
      <c r="S4" s="30">
        <f>'калькуляция (3)'!D45</f>
        <v>144000</v>
      </c>
      <c r="T4" s="31">
        <f>'резерв отпускных (3)'!D10+'резерв отпускных (3)'!D11+'резерв отпускных (3)'!D14+'резерв отпускных (3)'!D15</f>
        <v>86399.000000000015</v>
      </c>
    </row>
    <row r="5" spans="2:20" s="19" customFormat="1" ht="12.75" customHeight="1">
      <c r="C5" s="24" t="s">
        <v>6</v>
      </c>
      <c r="G5" s="20"/>
      <c r="H5" s="20"/>
      <c r="I5" s="20"/>
      <c r="J5" s="20"/>
      <c r="K5" s="20"/>
      <c r="M5" s="17"/>
      <c r="N5" s="18"/>
    </row>
    <row r="6" spans="2:20" s="32" customFormat="1" ht="28.5" customHeight="1">
      <c r="B6" s="33" t="s">
        <v>7</v>
      </c>
      <c r="C6" s="34"/>
      <c r="D6" s="34" t="s">
        <v>179</v>
      </c>
      <c r="E6" s="34"/>
      <c r="F6" s="34"/>
      <c r="G6" s="34"/>
      <c r="H6" s="34"/>
      <c r="I6" s="34"/>
      <c r="J6" s="34"/>
      <c r="K6" s="34"/>
      <c r="M6" s="35"/>
      <c r="N6" s="36"/>
      <c r="P6" s="37">
        <f>E18-P4</f>
        <v>0</v>
      </c>
      <c r="Q6" s="37">
        <f>E18-Q4</f>
        <v>0</v>
      </c>
      <c r="R6" s="37">
        <f>E18-R4</f>
        <v>0</v>
      </c>
      <c r="S6" s="37">
        <f>E18-S4</f>
        <v>0</v>
      </c>
      <c r="T6" s="37">
        <f>G23-T4</f>
        <v>0.99999999998544808</v>
      </c>
    </row>
    <row r="7" spans="2:20" s="19" customFormat="1" ht="18" customHeight="1">
      <c r="B7" s="38" t="s">
        <v>9</v>
      </c>
      <c r="C7" s="263"/>
      <c r="D7" s="263" t="s">
        <v>180</v>
      </c>
      <c r="E7" s="40"/>
      <c r="G7" s="41"/>
      <c r="H7" s="20"/>
      <c r="I7" s="20"/>
      <c r="J7" s="20"/>
      <c r="K7" s="20"/>
      <c r="M7" s="17"/>
      <c r="N7" s="18"/>
    </row>
    <row r="8" spans="2:20" s="19" customFormat="1" ht="27" customHeight="1">
      <c r="B8" s="19" t="s">
        <v>11</v>
      </c>
      <c r="E8" s="42">
        <v>8</v>
      </c>
      <c r="F8" s="15"/>
      <c r="G8" s="20"/>
      <c r="H8" s="20"/>
      <c r="I8" s="20"/>
      <c r="J8" s="20"/>
      <c r="K8" s="20"/>
      <c r="M8" s="17"/>
      <c r="N8" s="18"/>
    </row>
    <row r="9" spans="2:20" s="19" customFormat="1" ht="18" customHeight="1">
      <c r="B9" s="19" t="s">
        <v>12</v>
      </c>
      <c r="E9" s="42">
        <v>2</v>
      </c>
      <c r="F9" s="43"/>
      <c r="G9" s="20"/>
      <c r="H9" s="20"/>
      <c r="I9" s="20" t="s">
        <v>19</v>
      </c>
      <c r="J9" s="20"/>
      <c r="K9" s="20"/>
      <c r="M9" s="17"/>
      <c r="N9" s="44"/>
      <c r="O9" s="45"/>
    </row>
    <row r="10" spans="2:20" s="19" customFormat="1" ht="18" customHeight="1">
      <c r="B10" s="19" t="s">
        <v>13</v>
      </c>
      <c r="E10" s="42">
        <v>8</v>
      </c>
      <c r="F10" s="43"/>
      <c r="G10" s="20"/>
      <c r="H10" s="20"/>
      <c r="I10" s="20"/>
      <c r="J10" s="20"/>
      <c r="K10" s="20"/>
      <c r="M10" s="17"/>
      <c r="N10" s="44"/>
      <c r="O10" s="45"/>
    </row>
    <row r="11" spans="2:20" s="19" customFormat="1" ht="18" customHeight="1">
      <c r="B11" s="19" t="s">
        <v>14</v>
      </c>
      <c r="E11" s="42">
        <v>1</v>
      </c>
      <c r="F11" s="43"/>
      <c r="G11" s="46"/>
      <c r="H11" s="20"/>
      <c r="I11" s="20"/>
      <c r="J11" s="20"/>
      <c r="K11" s="20"/>
      <c r="M11" s="17"/>
      <c r="N11" s="18"/>
    </row>
    <row r="12" spans="2:20" s="19" customFormat="1" ht="18" customHeight="1">
      <c r="B12" s="19" t="s">
        <v>15</v>
      </c>
      <c r="E12" s="47">
        <f>G14</f>
        <v>36</v>
      </c>
      <c r="F12" s="43"/>
      <c r="G12" s="20"/>
      <c r="H12" s="20"/>
      <c r="I12" s="20"/>
      <c r="J12" s="20"/>
      <c r="K12" s="20"/>
      <c r="M12" s="17"/>
      <c r="N12" s="18"/>
    </row>
    <row r="13" spans="2:20" s="19" customFormat="1" ht="18" customHeight="1">
      <c r="B13" s="19" t="s">
        <v>177</v>
      </c>
      <c r="E13" s="48">
        <f>E8*E9*E12</f>
        <v>576</v>
      </c>
      <c r="F13" s="43"/>
      <c r="G13" s="20"/>
      <c r="H13" s="20"/>
      <c r="I13" s="20"/>
      <c r="J13" s="20"/>
      <c r="K13" s="20"/>
      <c r="M13" s="17"/>
      <c r="N13" s="18"/>
    </row>
    <row r="14" spans="2:20" s="19" customFormat="1" ht="18" customHeight="1">
      <c r="B14" s="19" t="s">
        <v>17</v>
      </c>
      <c r="E14" s="42">
        <f>E12*E9*E11</f>
        <v>72</v>
      </c>
      <c r="G14" s="49">
        <f>H14+I14+J14+K14</f>
        <v>36</v>
      </c>
      <c r="H14" s="49">
        <v>4</v>
      </c>
      <c r="I14" s="49">
        <v>12</v>
      </c>
      <c r="J14" s="49">
        <v>12</v>
      </c>
      <c r="K14" s="49">
        <v>8</v>
      </c>
      <c r="M14" s="17"/>
      <c r="N14" s="18"/>
    </row>
    <row r="15" spans="2:20" s="19" customFormat="1" ht="18" customHeight="1">
      <c r="B15" s="19" t="s">
        <v>18</v>
      </c>
      <c r="E15" s="42">
        <v>2000</v>
      </c>
      <c r="G15" s="50"/>
      <c r="H15" s="50"/>
      <c r="I15" s="50"/>
      <c r="J15" s="50"/>
      <c r="K15" s="50"/>
      <c r="M15" s="17"/>
      <c r="N15" s="18"/>
    </row>
    <row r="16" spans="2:20" s="19" customFormat="1" ht="18" customHeight="1">
      <c r="B16" s="19" t="s">
        <v>20</v>
      </c>
      <c r="E16" s="42">
        <f>E15/E10</f>
        <v>250</v>
      </c>
      <c r="F16" s="43"/>
      <c r="G16" s="51"/>
      <c r="H16" s="51"/>
      <c r="I16" s="51"/>
      <c r="J16" s="51"/>
      <c r="K16" s="51"/>
      <c r="M16" s="17"/>
      <c r="N16" s="18"/>
    </row>
    <row r="17" spans="1:24" s="19" customFormat="1" ht="21" customHeight="1">
      <c r="B17" s="19" t="s">
        <v>21</v>
      </c>
      <c r="E17" s="42">
        <f>E9*E12*E16</f>
        <v>18000</v>
      </c>
      <c r="F17" s="19" t="s">
        <v>19</v>
      </c>
      <c r="G17" s="51"/>
      <c r="H17" s="51"/>
      <c r="I17" s="51"/>
      <c r="J17" s="51"/>
      <c r="K17" s="51"/>
      <c r="M17" s="17"/>
      <c r="N17" s="18"/>
    </row>
    <row r="18" spans="1:24" s="19" customFormat="1" ht="18" customHeight="1">
      <c r="A18" s="52"/>
      <c r="B18" s="52" t="s">
        <v>22</v>
      </c>
      <c r="C18" s="53"/>
      <c r="D18" s="53"/>
      <c r="E18" s="54">
        <f>E17*E8</f>
        <v>144000</v>
      </c>
      <c r="F18" s="53"/>
      <c r="G18" s="51"/>
      <c r="H18" s="51"/>
      <c r="I18" s="51"/>
      <c r="J18" s="51"/>
      <c r="K18" s="51"/>
      <c r="L18" s="19" t="s">
        <v>23</v>
      </c>
      <c r="M18" s="17"/>
      <c r="N18" s="18"/>
    </row>
    <row r="19" spans="1:24" s="19" customFormat="1" ht="18" customHeight="1">
      <c r="A19" s="52"/>
      <c r="B19" s="52"/>
      <c r="C19" s="53"/>
      <c r="D19" s="53"/>
      <c r="E19" s="55"/>
      <c r="F19" s="53"/>
      <c r="G19" s="51"/>
      <c r="H19" s="51"/>
      <c r="I19" s="51"/>
      <c r="J19" s="51"/>
      <c r="K19" s="51"/>
      <c r="M19" s="17"/>
      <c r="N19" s="18"/>
    </row>
    <row r="20" spans="1:24" s="19" customFormat="1" ht="18" customHeight="1">
      <c r="A20" s="52"/>
      <c r="B20" s="56" t="s">
        <v>24</v>
      </c>
      <c r="C20" s="57"/>
      <c r="D20" s="57"/>
      <c r="E20" s="57"/>
      <c r="F20" s="57"/>
      <c r="G20" s="58"/>
      <c r="H20" s="12">
        <v>2024</v>
      </c>
      <c r="I20" s="12"/>
      <c r="J20" s="11">
        <v>2025</v>
      </c>
      <c r="K20" s="11"/>
      <c r="L20" s="61" t="s">
        <v>25</v>
      </c>
      <c r="M20" s="17"/>
      <c r="N20" s="10" t="s">
        <v>26</v>
      </c>
      <c r="P20" s="62"/>
      <c r="Q20" s="63"/>
      <c r="R20" s="64"/>
      <c r="S20" s="64"/>
      <c r="T20" s="63"/>
      <c r="U20" s="63"/>
      <c r="V20" s="63"/>
      <c r="W20" s="63"/>
    </row>
    <row r="21" spans="1:24" s="19" customFormat="1" ht="18" customHeight="1">
      <c r="A21" s="52"/>
      <c r="B21" s="65"/>
      <c r="C21" s="66" t="s">
        <v>27</v>
      </c>
      <c r="D21" s="52"/>
      <c r="E21" s="52"/>
      <c r="F21" s="52"/>
      <c r="G21" s="67"/>
      <c r="H21" s="49" t="s">
        <v>28</v>
      </c>
      <c r="I21" s="49" t="s">
        <v>29</v>
      </c>
      <c r="J21" s="49" t="s">
        <v>30</v>
      </c>
      <c r="K21" s="49" t="s">
        <v>31</v>
      </c>
      <c r="L21" s="68" t="s">
        <v>32</v>
      </c>
      <c r="M21" s="17"/>
      <c r="N21" s="10"/>
    </row>
    <row r="22" spans="1:24" s="63" customFormat="1" ht="30" customHeight="1">
      <c r="B22" s="69"/>
      <c r="C22" s="70"/>
      <c r="D22" s="70"/>
      <c r="E22" s="70"/>
      <c r="F22" s="70"/>
      <c r="G22" s="71">
        <f>E18</f>
        <v>144000</v>
      </c>
      <c r="H22" s="72">
        <f>E18/G14*H14</f>
        <v>16000</v>
      </c>
      <c r="I22" s="72">
        <f>E18/G14*I14</f>
        <v>48000</v>
      </c>
      <c r="J22" s="72">
        <f>E18/G14*J14</f>
        <v>48000</v>
      </c>
      <c r="K22" s="72">
        <f>E18/G14*K14</f>
        <v>32000</v>
      </c>
      <c r="L22" s="73">
        <f>E16</f>
        <v>250</v>
      </c>
      <c r="M22" s="74" t="e">
        <f>G22/N9</f>
        <v>#DIV/0!</v>
      </c>
      <c r="N22" s="75">
        <f>G22/G22</f>
        <v>1</v>
      </c>
      <c r="O22" s="32"/>
      <c r="P22" s="19"/>
      <c r="Q22" s="19"/>
      <c r="R22" s="19"/>
      <c r="S22" s="19"/>
      <c r="T22" s="19"/>
      <c r="U22" s="19"/>
      <c r="V22" s="19"/>
      <c r="W22" s="19"/>
    </row>
    <row r="23" spans="1:24" s="19" customFormat="1" ht="24.95" customHeight="1">
      <c r="B23" s="78" t="s">
        <v>33</v>
      </c>
      <c r="C23" s="79"/>
      <c r="D23" s="79"/>
      <c r="E23" s="79"/>
      <c r="F23" s="79"/>
      <c r="G23" s="80">
        <f>+H23+I23+J23+K23</f>
        <v>86400</v>
      </c>
      <c r="H23" s="80">
        <f>H22*0.6</f>
        <v>9600</v>
      </c>
      <c r="I23" s="80">
        <f>I22*0.6</f>
        <v>28800</v>
      </c>
      <c r="J23" s="80">
        <f>J22*0.6</f>
        <v>28800</v>
      </c>
      <c r="K23" s="80">
        <f>K22*0.6</f>
        <v>19200</v>
      </c>
      <c r="L23" s="81"/>
      <c r="M23" s="74">
        <f>G23/8208</f>
        <v>10.526315789473685</v>
      </c>
      <c r="N23" s="82">
        <f>G23/G22</f>
        <v>0.6</v>
      </c>
      <c r="O23" s="83"/>
      <c r="X23" s="84"/>
    </row>
    <row r="24" spans="1:24" s="19" customFormat="1" ht="17.25" customHeight="1">
      <c r="B24" s="85"/>
      <c r="C24" s="86"/>
      <c r="D24" s="86"/>
      <c r="E24" s="86"/>
      <c r="F24" s="87"/>
      <c r="G24" s="49"/>
      <c r="H24" s="58">
        <v>0</v>
      </c>
      <c r="I24" s="58"/>
      <c r="J24" s="58"/>
      <c r="K24" s="58"/>
      <c r="L24" s="88" t="e">
        <f>M24</f>
        <v>#DIV/0!</v>
      </c>
      <c r="M24" s="74" t="e">
        <f>G24/N9</f>
        <v>#DIV/0!</v>
      </c>
      <c r="N24" s="82"/>
      <c r="P24" s="89" t="s">
        <v>34</v>
      </c>
      <c r="Q24" s="90"/>
      <c r="R24" s="90"/>
      <c r="S24" s="90"/>
      <c r="T24" s="91"/>
      <c r="U24" s="52"/>
      <c r="V24" s="52"/>
    </row>
    <row r="25" spans="1:24" s="19" customFormat="1" ht="17.25" customHeight="1">
      <c r="A25" s="19" t="s">
        <v>35</v>
      </c>
      <c r="B25" s="92" t="s">
        <v>36</v>
      </c>
      <c r="C25" s="93"/>
      <c r="D25" s="93"/>
      <c r="E25" s="93"/>
      <c r="F25" s="93"/>
      <c r="G25" s="49">
        <f t="shared" ref="G25:G35" si="0">SUM(H25:K25)</f>
        <v>66359.447004608301</v>
      </c>
      <c r="H25" s="49">
        <f>H23/1.302</f>
        <v>7373.2718894009213</v>
      </c>
      <c r="I25" s="49">
        <f>I23/1.302</f>
        <v>22119.815668202766</v>
      </c>
      <c r="J25" s="49">
        <f>J23/1.302</f>
        <v>22119.815668202766</v>
      </c>
      <c r="K25" s="49">
        <f>K23/1.302</f>
        <v>14746.543778801843</v>
      </c>
      <c r="L25" s="94" t="e">
        <f>M25</f>
        <v>#DIV/0!</v>
      </c>
      <c r="M25" s="74" t="e">
        <f>G25/N9</f>
        <v>#DIV/0!</v>
      </c>
      <c r="N25" s="82"/>
      <c r="P25" s="95" t="s">
        <v>37</v>
      </c>
      <c r="Q25" s="96">
        <f>E16*0.546/1.302/1.1357/1.3</f>
        <v>71.009211314891758</v>
      </c>
      <c r="R25" s="97" t="s">
        <v>38</v>
      </c>
      <c r="S25" s="97"/>
      <c r="T25" s="98" t="s">
        <v>39</v>
      </c>
      <c r="U25" s="97"/>
      <c r="V25" s="97"/>
      <c r="X25" s="84"/>
    </row>
    <row r="26" spans="1:24" s="19" customFormat="1" ht="17.25" hidden="1" customHeight="1">
      <c r="A26" s="32" t="s">
        <v>40</v>
      </c>
      <c r="B26" s="99" t="s">
        <v>41</v>
      </c>
      <c r="C26" s="99"/>
      <c r="D26" s="93"/>
      <c r="E26" s="93"/>
      <c r="F26" s="93"/>
      <c r="G26" s="49">
        <f t="shared" si="0"/>
        <v>0</v>
      </c>
      <c r="H26" s="49"/>
      <c r="I26" s="49"/>
      <c r="J26" s="49"/>
      <c r="K26" s="49"/>
      <c r="L26" s="100"/>
      <c r="M26" s="74">
        <f>G26/5760</f>
        <v>0</v>
      </c>
      <c r="N26" s="82"/>
      <c r="P26" s="101"/>
      <c r="Q26" s="52"/>
      <c r="R26" s="52"/>
      <c r="S26" s="52"/>
      <c r="T26" s="102"/>
      <c r="U26" s="52"/>
      <c r="V26" s="52"/>
    </row>
    <row r="27" spans="1:24" s="19" customFormat="1" ht="17.25" customHeight="1">
      <c r="A27" s="32" t="s">
        <v>40</v>
      </c>
      <c r="B27" s="103" t="s">
        <v>42</v>
      </c>
      <c r="C27" s="104"/>
      <c r="D27" s="105"/>
      <c r="E27" s="105"/>
      <c r="F27" s="105"/>
      <c r="G27" s="49">
        <f t="shared" si="0"/>
        <v>20040.552995391707</v>
      </c>
      <c r="H27" s="49">
        <f>H23-H25</f>
        <v>2226.7281105990787</v>
      </c>
      <c r="I27" s="49">
        <f>I23-I25</f>
        <v>6680.1843317972343</v>
      </c>
      <c r="J27" s="49">
        <f>J23-J25</f>
        <v>6680.1843317972343</v>
      </c>
      <c r="K27" s="49">
        <f>K23-K25</f>
        <v>4453.4562211981574</v>
      </c>
      <c r="L27" s="106" t="e">
        <f>M27</f>
        <v>#DIV/0!</v>
      </c>
      <c r="M27" s="74" t="e">
        <f t="shared" ref="M27:M35" si="1">G27/$N$9</f>
        <v>#DIV/0!</v>
      </c>
      <c r="N27" s="82"/>
      <c r="P27" s="107" t="s">
        <v>43</v>
      </c>
      <c r="Q27" s="108">
        <f>E16*0.054/1.302/1.1357/1.3</f>
        <v>7.0228890311431416</v>
      </c>
      <c r="R27" s="109" t="s">
        <v>38</v>
      </c>
      <c r="S27" s="109"/>
      <c r="T27" s="110" t="s">
        <v>44</v>
      </c>
      <c r="U27" s="52"/>
      <c r="V27" s="52"/>
    </row>
    <row r="28" spans="1:24" s="19" customFormat="1" ht="24.95" customHeight="1">
      <c r="B28" s="111" t="s">
        <v>45</v>
      </c>
      <c r="C28" s="112"/>
      <c r="D28" s="112"/>
      <c r="E28" s="112"/>
      <c r="F28" s="112"/>
      <c r="G28" s="113">
        <f t="shared" si="0"/>
        <v>23472</v>
      </c>
      <c r="H28" s="80">
        <f>H29+H30+H31+H44+H45+H50</f>
        <v>2608</v>
      </c>
      <c r="I28" s="80">
        <f>I29+I30+I31+I44+I45+I50</f>
        <v>7824</v>
      </c>
      <c r="J28" s="80">
        <f>J29+J30+J31+J44+J45+J50</f>
        <v>7824</v>
      </c>
      <c r="K28" s="80">
        <f>K29+K30+K31+K44+K45+K50</f>
        <v>5216</v>
      </c>
      <c r="L28" s="114" t="e">
        <f>L29+L30+L31+L44+L45+L50</f>
        <v>#DIV/0!</v>
      </c>
      <c r="M28" s="74" t="e">
        <f t="shared" si="1"/>
        <v>#DIV/0!</v>
      </c>
      <c r="N28" s="82"/>
      <c r="P28" s="17"/>
    </row>
    <row r="29" spans="1:24" s="115" customFormat="1" ht="17.25" hidden="1" customHeight="1">
      <c r="B29" s="116" t="s">
        <v>46</v>
      </c>
      <c r="C29" s="117"/>
      <c r="D29" s="117"/>
      <c r="E29" s="117"/>
      <c r="F29" s="117"/>
      <c r="G29" s="49">
        <f t="shared" si="0"/>
        <v>0</v>
      </c>
      <c r="H29" s="49"/>
      <c r="I29" s="49"/>
      <c r="J29" s="49"/>
      <c r="K29" s="118"/>
      <c r="L29" s="119">
        <f>(H29/3*$L$22)/($H$22/3)</f>
        <v>0</v>
      </c>
      <c r="M29" s="74" t="e">
        <f t="shared" si="1"/>
        <v>#DIV/0!</v>
      </c>
      <c r="N29" s="82"/>
      <c r="O29" s="32"/>
    </row>
    <row r="30" spans="1:24" s="115" customFormat="1" ht="17.25" hidden="1" customHeight="1">
      <c r="B30" s="116" t="s">
        <v>47</v>
      </c>
      <c r="C30" s="117"/>
      <c r="D30" s="117"/>
      <c r="E30" s="117"/>
      <c r="F30" s="117"/>
      <c r="G30" s="49">
        <f t="shared" si="0"/>
        <v>0</v>
      </c>
      <c r="H30" s="49"/>
      <c r="I30" s="49"/>
      <c r="J30" s="49"/>
      <c r="K30" s="49"/>
      <c r="L30" s="119"/>
      <c r="M30" s="74" t="e">
        <f t="shared" si="1"/>
        <v>#DIV/0!</v>
      </c>
      <c r="N30" s="82"/>
      <c r="O30" s="32"/>
    </row>
    <row r="31" spans="1:24" s="115" customFormat="1" ht="17.25" customHeight="1">
      <c r="B31" s="120" t="s">
        <v>48</v>
      </c>
      <c r="C31" s="121"/>
      <c r="D31" s="121"/>
      <c r="E31" s="121"/>
      <c r="F31" s="121"/>
      <c r="G31" s="59">
        <f t="shared" si="0"/>
        <v>14400</v>
      </c>
      <c r="H31" s="49">
        <f>H32+H35+H39</f>
        <v>1600</v>
      </c>
      <c r="I31" s="49">
        <f>I32+I35+I39</f>
        <v>4800</v>
      </c>
      <c r="J31" s="49">
        <f>SUM(J32:J39)</f>
        <v>4800</v>
      </c>
      <c r="K31" s="49">
        <f>SUM(K32:K39)</f>
        <v>3200</v>
      </c>
      <c r="L31" s="106" t="e">
        <f>L32+L35+L39</f>
        <v>#DIV/0!</v>
      </c>
      <c r="M31" s="74" t="e">
        <f t="shared" si="1"/>
        <v>#DIV/0!</v>
      </c>
      <c r="N31" s="82">
        <f>G31/G22</f>
        <v>0.1</v>
      </c>
      <c r="O31" s="32"/>
    </row>
    <row r="32" spans="1:24" s="122" customFormat="1" ht="17.25" customHeight="1">
      <c r="B32" s="99" t="s">
        <v>49</v>
      </c>
      <c r="C32" s="93"/>
      <c r="D32" s="93"/>
      <c r="E32" s="123">
        <v>6.5000000000000002E-2</v>
      </c>
      <c r="F32" s="124"/>
      <c r="G32" s="125">
        <f t="shared" si="0"/>
        <v>9360</v>
      </c>
      <c r="H32" s="126">
        <f>+H22*6.5%</f>
        <v>1040</v>
      </c>
      <c r="I32" s="126">
        <f>+I22*6.5%</f>
        <v>3120</v>
      </c>
      <c r="J32" s="126">
        <f>+J22*6.5%</f>
        <v>3120</v>
      </c>
      <c r="K32" s="126">
        <f>+K22*6.5%</f>
        <v>2080</v>
      </c>
      <c r="L32" s="94" t="e">
        <f>M32</f>
        <v>#DIV/0!</v>
      </c>
      <c r="M32" s="74" t="e">
        <f t="shared" si="1"/>
        <v>#DIV/0!</v>
      </c>
      <c r="N32" s="82"/>
      <c r="O32" s="19"/>
    </row>
    <row r="33" spans="2:16" s="128" customFormat="1" ht="17.25" hidden="1" customHeight="1">
      <c r="B33" s="129" t="s">
        <v>50</v>
      </c>
      <c r="C33" s="130"/>
      <c r="D33" s="130" t="s">
        <v>51</v>
      </c>
      <c r="E33" s="131"/>
      <c r="F33" s="130" t="s">
        <v>52</v>
      </c>
      <c r="G33" s="132">
        <f t="shared" si="0"/>
        <v>0</v>
      </c>
      <c r="H33" s="133"/>
      <c r="I33" s="133"/>
      <c r="J33" s="133"/>
      <c r="K33" s="133"/>
      <c r="L33" s="94">
        <f>(H33/3*$L$22)/($H$22/3)</f>
        <v>0</v>
      </c>
      <c r="M33" s="74" t="e">
        <f t="shared" si="1"/>
        <v>#DIV/0!</v>
      </c>
      <c r="N33" s="149"/>
      <c r="O33" s="134"/>
    </row>
    <row r="34" spans="2:16" s="128" customFormat="1" ht="17.25" hidden="1" customHeight="1">
      <c r="B34" s="135" t="s">
        <v>53</v>
      </c>
      <c r="C34" s="136">
        <f>C33</f>
        <v>0</v>
      </c>
      <c r="D34" s="136" t="s">
        <v>54</v>
      </c>
      <c r="E34" s="137"/>
      <c r="F34" s="136"/>
      <c r="G34" s="138">
        <f t="shared" si="0"/>
        <v>0</v>
      </c>
      <c r="H34" s="133"/>
      <c r="I34" s="133"/>
      <c r="J34" s="133"/>
      <c r="K34" s="133"/>
      <c r="L34" s="94">
        <f>(H34/3*$L$22)/($H$22/3)</f>
        <v>0</v>
      </c>
      <c r="M34" s="74" t="e">
        <f t="shared" si="1"/>
        <v>#DIV/0!</v>
      </c>
      <c r="N34" s="149"/>
      <c r="O34" s="134"/>
    </row>
    <row r="35" spans="2:16" s="122" customFormat="1" ht="17.25" customHeight="1">
      <c r="B35" s="99" t="s">
        <v>55</v>
      </c>
      <c r="C35" s="93"/>
      <c r="D35" s="93"/>
      <c r="E35" s="123">
        <v>2.1000000000000001E-2</v>
      </c>
      <c r="F35" s="124"/>
      <c r="G35" s="125">
        <f t="shared" si="0"/>
        <v>3024</v>
      </c>
      <c r="H35" s="126">
        <f>+H22*2.1%</f>
        <v>336</v>
      </c>
      <c r="I35" s="126">
        <f>+I22*2.1%</f>
        <v>1008.0000000000001</v>
      </c>
      <c r="J35" s="126">
        <f>+J22*2.1%</f>
        <v>1008.0000000000001</v>
      </c>
      <c r="K35" s="126">
        <f>+K22*2.1%</f>
        <v>672</v>
      </c>
      <c r="L35" s="94" t="e">
        <f>M35</f>
        <v>#DIV/0!</v>
      </c>
      <c r="M35" s="74" t="e">
        <f t="shared" si="1"/>
        <v>#DIV/0!</v>
      </c>
      <c r="N35" s="18"/>
      <c r="O35" s="19"/>
    </row>
    <row r="36" spans="2:16" s="128" customFormat="1" ht="15.75" hidden="1" customHeight="1">
      <c r="B36" s="139"/>
      <c r="C36" s="130"/>
      <c r="D36" s="130">
        <f>1.44*24*3</f>
        <v>103.68</v>
      </c>
      <c r="E36" s="131" t="s">
        <v>56</v>
      </c>
      <c r="F36" s="140"/>
      <c r="G36" s="141"/>
      <c r="H36" s="133"/>
      <c r="I36" s="133"/>
      <c r="J36" s="133"/>
      <c r="K36" s="133"/>
      <c r="L36" s="94">
        <f>(H36/3*$L$22)/($H$22/3)</f>
        <v>0</v>
      </c>
      <c r="M36" s="74" t="e">
        <f>F36/$N$9</f>
        <v>#DIV/0!</v>
      </c>
      <c r="N36" s="149"/>
      <c r="O36" s="134"/>
      <c r="P36" s="128">
        <v>224</v>
      </c>
    </row>
    <row r="37" spans="2:16" s="128" customFormat="1" ht="15.75" hidden="1" customHeight="1">
      <c r="B37" s="130" t="s">
        <v>57</v>
      </c>
      <c r="C37" s="134"/>
      <c r="D37" s="130"/>
      <c r="E37" s="131"/>
      <c r="F37" s="130"/>
      <c r="G37" s="142"/>
      <c r="H37" s="133"/>
      <c r="I37" s="133"/>
      <c r="J37" s="133"/>
      <c r="K37" s="133"/>
      <c r="L37" s="94">
        <f>(H37/3*$L$22)/($H$22/3)</f>
        <v>0</v>
      </c>
      <c r="M37" s="74" t="e">
        <f t="shared" ref="M37:M63" si="2">G37/$N$9</f>
        <v>#DIV/0!</v>
      </c>
      <c r="N37" s="149"/>
      <c r="O37" s="134"/>
    </row>
    <row r="38" spans="2:16" s="128" customFormat="1" ht="15.75" hidden="1" customHeight="1">
      <c r="B38" s="143"/>
      <c r="C38" s="130" t="s">
        <v>58</v>
      </c>
      <c r="D38" s="130"/>
      <c r="E38" s="131"/>
      <c r="F38" s="143"/>
      <c r="G38" s="142" t="s">
        <v>59</v>
      </c>
      <c r="H38" s="133"/>
      <c r="I38" s="133"/>
      <c r="J38" s="133"/>
      <c r="K38" s="133"/>
      <c r="L38" s="94">
        <f>(H38/3*$L$22)/($H$22/3)</f>
        <v>0</v>
      </c>
      <c r="M38" s="74" t="e">
        <f t="shared" si="2"/>
        <v>#VALUE!</v>
      </c>
      <c r="N38" s="149"/>
      <c r="O38" s="134"/>
    </row>
    <row r="39" spans="2:16" s="122" customFormat="1" ht="17.25" customHeight="1">
      <c r="B39" s="144" t="s">
        <v>60</v>
      </c>
      <c r="C39" s="93"/>
      <c r="D39" s="93"/>
      <c r="E39" s="123">
        <v>1.4E-2</v>
      </c>
      <c r="F39" s="145"/>
      <c r="G39" s="125">
        <f>SUM(H39:K39)</f>
        <v>2015.9999999999998</v>
      </c>
      <c r="H39" s="126">
        <f>+H22*1.4%</f>
        <v>223.99999999999997</v>
      </c>
      <c r="I39" s="126">
        <f>+I22*1.4%</f>
        <v>671.99999999999989</v>
      </c>
      <c r="J39" s="126">
        <f>+J22*1.4%</f>
        <v>671.99999999999989</v>
      </c>
      <c r="K39" s="126">
        <f>+K22*1.4%</f>
        <v>447.99999999999994</v>
      </c>
      <c r="L39" s="94" t="e">
        <f>M39</f>
        <v>#DIV/0!</v>
      </c>
      <c r="M39" s="74" t="e">
        <f t="shared" si="2"/>
        <v>#DIV/0!</v>
      </c>
      <c r="N39" s="18"/>
      <c r="O39" s="19"/>
    </row>
    <row r="40" spans="2:16" s="128" customFormat="1" ht="18.75" hidden="1" customHeight="1">
      <c r="B40" s="139" t="s">
        <v>61</v>
      </c>
      <c r="C40" s="130"/>
      <c r="D40" s="130">
        <f>50</f>
        <v>50</v>
      </c>
      <c r="E40" s="130" t="s">
        <v>62</v>
      </c>
      <c r="F40" s="134"/>
      <c r="G40" s="146"/>
      <c r="H40" s="147"/>
      <c r="I40" s="147"/>
      <c r="J40" s="147"/>
      <c r="K40" s="147"/>
      <c r="L40" s="148"/>
      <c r="M40" s="74" t="e">
        <f t="shared" si="2"/>
        <v>#DIV/0!</v>
      </c>
      <c r="N40" s="149"/>
      <c r="O40" s="134"/>
      <c r="P40" s="128">
        <v>224</v>
      </c>
    </row>
    <row r="41" spans="2:16" s="128" customFormat="1" ht="18.75" hidden="1" customHeight="1">
      <c r="B41" s="139" t="s">
        <v>63</v>
      </c>
      <c r="C41" s="130"/>
      <c r="D41" s="130">
        <f>50</f>
        <v>50</v>
      </c>
      <c r="E41" s="130" t="s">
        <v>62</v>
      </c>
      <c r="F41" s="134"/>
      <c r="G41" s="146"/>
      <c r="H41" s="147"/>
      <c r="I41" s="147"/>
      <c r="J41" s="147"/>
      <c r="K41" s="147">
        <f>H41</f>
        <v>0</v>
      </c>
      <c r="L41" s="148"/>
      <c r="M41" s="74" t="e">
        <f t="shared" si="2"/>
        <v>#DIV/0!</v>
      </c>
      <c r="N41" s="149"/>
      <c r="O41" s="134"/>
      <c r="P41" s="128">
        <v>224</v>
      </c>
    </row>
    <row r="42" spans="2:16" s="122" customFormat="1" ht="11.25" hidden="1" customHeight="1">
      <c r="B42" s="150"/>
      <c r="C42" s="52"/>
      <c r="D42" s="52"/>
      <c r="E42" s="52"/>
      <c r="F42" s="52"/>
      <c r="G42" s="50"/>
      <c r="H42" s="50"/>
      <c r="I42" s="67"/>
      <c r="J42" s="151"/>
      <c r="K42" s="151"/>
      <c r="L42" s="148"/>
      <c r="M42" s="74" t="e">
        <f t="shared" si="2"/>
        <v>#DIV/0!</v>
      </c>
      <c r="N42" s="18"/>
      <c r="O42" s="19"/>
    </row>
    <row r="43" spans="2:16" s="115" customFormat="1" ht="18.75" hidden="1" customHeight="1">
      <c r="B43" s="116" t="s">
        <v>64</v>
      </c>
      <c r="C43" s="117"/>
      <c r="D43" s="117"/>
      <c r="E43" s="117"/>
      <c r="F43" s="117"/>
      <c r="G43" s="59"/>
      <c r="H43" s="152"/>
      <c r="I43" s="152"/>
      <c r="J43" s="152"/>
      <c r="K43" s="153"/>
      <c r="L43" s="154"/>
      <c r="M43" s="74" t="e">
        <f t="shared" si="2"/>
        <v>#DIV/0!</v>
      </c>
      <c r="N43" s="36"/>
      <c r="O43" s="32"/>
    </row>
    <row r="44" spans="2:16" s="115" customFormat="1" ht="20.25" hidden="1" customHeight="1">
      <c r="B44" s="155"/>
      <c r="C44" s="156"/>
      <c r="D44" s="156"/>
      <c r="E44" s="156"/>
      <c r="F44" s="156"/>
      <c r="G44" s="49">
        <f t="shared" ref="G44:G54" si="3">SUM(H44:K44)</f>
        <v>0</v>
      </c>
      <c r="H44" s="157"/>
      <c r="I44" s="157"/>
      <c r="J44" s="157"/>
      <c r="K44" s="157"/>
      <c r="L44" s="119">
        <f>(H44/3*$L$22)/($H$22/3)</f>
        <v>0</v>
      </c>
      <c r="M44" s="74" t="e">
        <f t="shared" si="2"/>
        <v>#DIV/0!</v>
      </c>
      <c r="N44" s="36"/>
      <c r="O44" s="32"/>
    </row>
    <row r="45" spans="2:16" s="115" customFormat="1" ht="21" hidden="1" customHeight="1">
      <c r="B45" s="158" t="s">
        <v>65</v>
      </c>
      <c r="C45" s="159"/>
      <c r="D45" s="159"/>
      <c r="E45" s="159"/>
      <c r="F45" s="159"/>
      <c r="G45" s="49">
        <f t="shared" si="3"/>
        <v>0</v>
      </c>
      <c r="H45" s="152">
        <f>H46+H48+H49</f>
        <v>0</v>
      </c>
      <c r="I45" s="152">
        <f>I46+I48+I49</f>
        <v>0</v>
      </c>
      <c r="J45" s="152">
        <f>J46+J48+J49</f>
        <v>0</v>
      </c>
      <c r="K45" s="152">
        <f>K46+K48+K49</f>
        <v>0</v>
      </c>
      <c r="L45" s="100" t="e">
        <f>L46+L48+L49</f>
        <v>#DIV/0!</v>
      </c>
      <c r="M45" s="74" t="e">
        <f t="shared" si="2"/>
        <v>#DIV/0!</v>
      </c>
      <c r="N45" s="36"/>
      <c r="O45" s="32"/>
    </row>
    <row r="46" spans="2:16" s="160" customFormat="1" ht="15" hidden="1" customHeight="1">
      <c r="B46" s="144" t="s">
        <v>66</v>
      </c>
      <c r="C46" s="161"/>
      <c r="D46" s="161"/>
      <c r="E46" s="161"/>
      <c r="F46" s="145"/>
      <c r="G46" s="49">
        <f t="shared" si="3"/>
        <v>0</v>
      </c>
      <c r="H46" s="49"/>
      <c r="I46" s="49"/>
      <c r="J46" s="49"/>
      <c r="K46" s="49"/>
      <c r="L46" s="162">
        <f>(H46/3*$L$22)/($H$22/3)</f>
        <v>0</v>
      </c>
      <c r="M46" s="74" t="e">
        <f t="shared" si="2"/>
        <v>#DIV/0!</v>
      </c>
      <c r="N46" s="36"/>
      <c r="O46" s="32"/>
    </row>
    <row r="47" spans="2:16" s="128" customFormat="1" ht="15" hidden="1" customHeight="1">
      <c r="B47" s="139" t="s">
        <v>67</v>
      </c>
      <c r="C47" s="130"/>
      <c r="D47" s="130"/>
      <c r="E47" s="130"/>
      <c r="F47" s="130" t="s">
        <v>68</v>
      </c>
      <c r="G47" s="49">
        <f t="shared" si="3"/>
        <v>0</v>
      </c>
      <c r="H47" s="147">
        <f>ROUND(E47*0.976*1.18,1)</f>
        <v>0</v>
      </c>
      <c r="I47" s="147">
        <f>ROUND(E47*0.976*1.18,1)</f>
        <v>0</v>
      </c>
      <c r="J47" s="147">
        <f>ROUND(E47*0.976*1.18,1)</f>
        <v>0</v>
      </c>
      <c r="K47" s="147">
        <f>ROUND(E47*0.976*1.18,1)</f>
        <v>0</v>
      </c>
      <c r="L47" s="163">
        <f>(H47/3*$L$22)/($H$22/3)</f>
        <v>0</v>
      </c>
      <c r="M47" s="74" t="e">
        <f t="shared" si="2"/>
        <v>#DIV/0!</v>
      </c>
      <c r="N47" s="149"/>
      <c r="O47" s="134"/>
    </row>
    <row r="48" spans="2:16" s="122" customFormat="1" ht="15" hidden="1" customHeight="1">
      <c r="B48" s="99" t="s">
        <v>69</v>
      </c>
      <c r="C48" s="93"/>
      <c r="D48" s="93"/>
      <c r="E48" s="93"/>
      <c r="F48" s="124"/>
      <c r="G48" s="49">
        <f t="shared" si="3"/>
        <v>0</v>
      </c>
      <c r="H48" s="49"/>
      <c r="I48" s="49"/>
      <c r="J48" s="49"/>
      <c r="K48" s="49"/>
      <c r="L48" s="119" t="e">
        <f>M48</f>
        <v>#DIV/0!</v>
      </c>
      <c r="M48" s="74" t="e">
        <f t="shared" si="2"/>
        <v>#DIV/0!</v>
      </c>
      <c r="N48" s="18"/>
      <c r="O48" s="19"/>
    </row>
    <row r="49" spans="1:15" s="128" customFormat="1" ht="15" hidden="1" customHeight="1">
      <c r="B49" s="99" t="s">
        <v>70</v>
      </c>
      <c r="C49" s="164"/>
      <c r="D49" s="164"/>
      <c r="E49" s="164"/>
      <c r="F49" s="164"/>
      <c r="G49" s="49">
        <f t="shared" si="3"/>
        <v>0</v>
      </c>
      <c r="H49" s="49"/>
      <c r="I49" s="49"/>
      <c r="J49" s="49"/>
      <c r="K49" s="49"/>
      <c r="L49" s="165" t="e">
        <f>M49</f>
        <v>#DIV/0!</v>
      </c>
      <c r="M49" s="74" t="e">
        <f t="shared" si="2"/>
        <v>#DIV/0!</v>
      </c>
      <c r="N49" s="149"/>
      <c r="O49" s="134"/>
    </row>
    <row r="50" spans="1:15" s="115" customFormat="1" ht="18" customHeight="1">
      <c r="B50" s="120" t="s">
        <v>71</v>
      </c>
      <c r="C50" s="121"/>
      <c r="D50" s="121"/>
      <c r="E50" s="121"/>
      <c r="F50" s="121"/>
      <c r="G50" s="49">
        <f t="shared" si="3"/>
        <v>9072</v>
      </c>
      <c r="H50" s="49">
        <f>SUM(H51:H54)</f>
        <v>1008</v>
      </c>
      <c r="I50" s="49">
        <f>SUM(I51:I54)</f>
        <v>3024</v>
      </c>
      <c r="J50" s="49">
        <f>SUM(J51:J54)</f>
        <v>3024</v>
      </c>
      <c r="K50" s="49">
        <f>SUM(K51:K54)</f>
        <v>2016</v>
      </c>
      <c r="L50" s="119" t="e">
        <f>L51+L52+L53</f>
        <v>#DIV/0!</v>
      </c>
      <c r="M50" s="74" t="e">
        <f t="shared" si="2"/>
        <v>#DIV/0!</v>
      </c>
      <c r="N50" s="36"/>
      <c r="O50" s="32"/>
    </row>
    <row r="51" spans="1:15" s="122" customFormat="1" ht="32.25" customHeight="1">
      <c r="B51" s="9" t="s">
        <v>72</v>
      </c>
      <c r="C51" s="9"/>
      <c r="D51" s="9"/>
      <c r="E51" s="167">
        <v>0.05</v>
      </c>
      <c r="F51" s="93"/>
      <c r="G51" s="49">
        <f t="shared" si="3"/>
        <v>7200</v>
      </c>
      <c r="H51" s="49">
        <f>H22*5%</f>
        <v>800</v>
      </c>
      <c r="I51" s="49">
        <f>I22*5%</f>
        <v>2400</v>
      </c>
      <c r="J51" s="49">
        <f>J22*5%</f>
        <v>2400</v>
      </c>
      <c r="K51" s="49">
        <f>K22*5%</f>
        <v>1600</v>
      </c>
      <c r="L51" s="165" t="e">
        <f>M51</f>
        <v>#DIV/0!</v>
      </c>
      <c r="M51" s="74" t="e">
        <f t="shared" si="2"/>
        <v>#DIV/0!</v>
      </c>
      <c r="N51" s="82">
        <f>G51/G22</f>
        <v>0.05</v>
      </c>
      <c r="O51" s="19"/>
    </row>
    <row r="52" spans="1:15" s="122" customFormat="1" ht="18.75" customHeight="1">
      <c r="B52" s="99" t="s">
        <v>73</v>
      </c>
      <c r="C52" s="105"/>
      <c r="D52" s="105"/>
      <c r="E52" s="168">
        <v>1.2999999999999999E-2</v>
      </c>
      <c r="F52" s="169"/>
      <c r="G52" s="49">
        <f t="shared" si="3"/>
        <v>1872</v>
      </c>
      <c r="H52" s="49">
        <f>H22*1.3%</f>
        <v>208.00000000000003</v>
      </c>
      <c r="I52" s="49">
        <f>I22*1.3%</f>
        <v>624</v>
      </c>
      <c r="J52" s="49">
        <f>J22*1.3%</f>
        <v>624</v>
      </c>
      <c r="K52" s="49">
        <f>K22*1.3%</f>
        <v>416.00000000000006</v>
      </c>
      <c r="L52" s="100">
        <f>G52/7296</f>
        <v>0.25657894736842107</v>
      </c>
      <c r="M52" s="74" t="e">
        <f t="shared" si="2"/>
        <v>#DIV/0!</v>
      </c>
      <c r="N52" s="82">
        <f>G52/G22</f>
        <v>1.2999999999999999E-2</v>
      </c>
      <c r="O52" s="19"/>
    </row>
    <row r="53" spans="1:15" s="122" customFormat="1" ht="15" hidden="1" customHeight="1">
      <c r="B53" s="99" t="s">
        <v>74</v>
      </c>
      <c r="C53" s="161"/>
      <c r="D53" s="161"/>
      <c r="E53" s="161"/>
      <c r="F53" s="161"/>
      <c r="G53" s="49">
        <f t="shared" si="3"/>
        <v>0</v>
      </c>
      <c r="H53" s="49"/>
      <c r="I53" s="49"/>
      <c r="J53" s="49"/>
      <c r="K53" s="49"/>
      <c r="L53" s="100">
        <f>L54</f>
        <v>0</v>
      </c>
      <c r="M53" s="74" t="e">
        <f t="shared" si="2"/>
        <v>#DIV/0!</v>
      </c>
      <c r="N53" s="18"/>
      <c r="O53" s="19"/>
    </row>
    <row r="54" spans="1:15" s="128" customFormat="1" ht="16.5" hidden="1" customHeight="1">
      <c r="B54" s="170" t="s">
        <v>75</v>
      </c>
      <c r="C54" s="171"/>
      <c r="D54" s="171"/>
      <c r="E54" s="172">
        <v>0.6</v>
      </c>
      <c r="F54" s="171"/>
      <c r="G54" s="49">
        <f t="shared" si="3"/>
        <v>0</v>
      </c>
      <c r="H54" s="49">
        <f>H22*60%-H23</f>
        <v>0</v>
      </c>
      <c r="I54" s="49">
        <f>I22*60%-I23</f>
        <v>0</v>
      </c>
      <c r="J54" s="49">
        <f>J22*60%-J23</f>
        <v>0</v>
      </c>
      <c r="K54" s="49">
        <f>K22*60%-K23</f>
        <v>0</v>
      </c>
      <c r="L54" s="173">
        <f>G54/1440</f>
        <v>0</v>
      </c>
      <c r="M54" s="74" t="e">
        <f t="shared" si="2"/>
        <v>#DIV/0!</v>
      </c>
      <c r="N54" s="149"/>
      <c r="O54" s="134"/>
    </row>
    <row r="55" spans="1:15" s="128" customFormat="1" ht="15" hidden="1" customHeight="1">
      <c r="B55" s="139"/>
      <c r="C55" s="130"/>
      <c r="D55" s="130"/>
      <c r="E55" s="130"/>
      <c r="F55" s="130"/>
      <c r="G55" s="59"/>
      <c r="H55" s="152"/>
      <c r="I55" s="152"/>
      <c r="J55" s="152"/>
      <c r="K55" s="153"/>
      <c r="L55" s="174"/>
      <c r="M55" s="74" t="e">
        <f t="shared" si="2"/>
        <v>#DIV/0!</v>
      </c>
      <c r="N55" s="149"/>
      <c r="O55" s="134"/>
    </row>
    <row r="56" spans="1:15" s="19" customFormat="1" ht="15" hidden="1" customHeight="1">
      <c r="A56" s="52"/>
      <c r="B56" s="175" t="s">
        <v>76</v>
      </c>
      <c r="C56" s="176"/>
      <c r="D56" s="176"/>
      <c r="E56" s="176"/>
      <c r="F56" s="176"/>
      <c r="G56" s="59">
        <f t="shared" ref="G56:L56" si="4">G57+G58</f>
        <v>0</v>
      </c>
      <c r="H56" s="59">
        <f t="shared" si="4"/>
        <v>0</v>
      </c>
      <c r="I56" s="59">
        <f t="shared" si="4"/>
        <v>0</v>
      </c>
      <c r="J56" s="59">
        <f t="shared" si="4"/>
        <v>0</v>
      </c>
      <c r="K56" s="59">
        <f t="shared" si="4"/>
        <v>0</v>
      </c>
      <c r="L56" s="177" t="e">
        <f t="shared" si="4"/>
        <v>#DIV/0!</v>
      </c>
      <c r="M56" s="74" t="e">
        <f t="shared" si="2"/>
        <v>#DIV/0!</v>
      </c>
      <c r="N56" s="18"/>
    </row>
    <row r="57" spans="1:15" s="19" customFormat="1" ht="15" hidden="1" customHeight="1">
      <c r="A57" s="52"/>
      <c r="B57" s="139" t="s">
        <v>77</v>
      </c>
      <c r="C57" s="178"/>
      <c r="D57" s="178"/>
      <c r="E57" s="178"/>
      <c r="F57" s="178"/>
      <c r="G57" s="49"/>
      <c r="H57" s="49"/>
      <c r="I57" s="49"/>
      <c r="J57" s="49"/>
      <c r="K57" s="49"/>
      <c r="L57" s="177" t="e">
        <f>M57</f>
        <v>#DIV/0!</v>
      </c>
      <c r="M57" s="74" t="e">
        <f t="shared" si="2"/>
        <v>#DIV/0!</v>
      </c>
      <c r="N57" s="18"/>
    </row>
    <row r="58" spans="1:15" s="19" customFormat="1" ht="15" hidden="1" customHeight="1">
      <c r="A58" s="52"/>
      <c r="B58" s="155" t="s">
        <v>78</v>
      </c>
      <c r="C58" s="179"/>
      <c r="D58" s="179"/>
      <c r="E58" s="179"/>
      <c r="F58" s="180"/>
      <c r="G58" s="58">
        <f t="shared" ref="G58:G73" si="5">SUM(H58:K58)</f>
        <v>0</v>
      </c>
      <c r="H58" s="58"/>
      <c r="I58" s="181"/>
      <c r="J58" s="58"/>
      <c r="K58" s="182"/>
      <c r="L58" s="174" t="e">
        <f>M58</f>
        <v>#DIV/0!</v>
      </c>
      <c r="M58" s="74" t="e">
        <f t="shared" si="2"/>
        <v>#DIV/0!</v>
      </c>
      <c r="N58" s="18"/>
    </row>
    <row r="59" spans="1:15" s="19" customFormat="1" ht="15" hidden="1" customHeight="1">
      <c r="A59" s="52"/>
      <c r="B59" s="183"/>
      <c r="C59" s="184"/>
      <c r="D59" s="184"/>
      <c r="E59" s="184"/>
      <c r="F59" s="184"/>
      <c r="G59" s="185">
        <f t="shared" si="5"/>
        <v>0</v>
      </c>
      <c r="H59" s="185"/>
      <c r="I59" s="185"/>
      <c r="J59" s="185"/>
      <c r="K59" s="185"/>
      <c r="L59" s="186">
        <f>G59/7296</f>
        <v>0</v>
      </c>
      <c r="M59" s="74" t="e">
        <f t="shared" si="2"/>
        <v>#DIV/0!</v>
      </c>
      <c r="N59" s="18"/>
    </row>
    <row r="60" spans="1:15" s="19" customFormat="1" ht="24.95" customHeight="1">
      <c r="A60" s="52"/>
      <c r="B60" s="187" t="s">
        <v>79</v>
      </c>
      <c r="C60" s="188"/>
      <c r="D60" s="188"/>
      <c r="E60" s="188"/>
      <c r="F60" s="188"/>
      <c r="G60" s="113">
        <f t="shared" si="5"/>
        <v>34128</v>
      </c>
      <c r="H60" s="113">
        <f>H67+H61</f>
        <v>3792</v>
      </c>
      <c r="I60" s="113">
        <f>I67+I61</f>
        <v>11376</v>
      </c>
      <c r="J60" s="113">
        <f>J67+J61</f>
        <v>11376</v>
      </c>
      <c r="K60" s="113">
        <f>K67+K61</f>
        <v>7584</v>
      </c>
      <c r="L60" s="189" t="e">
        <f>L67+L61</f>
        <v>#DIV/0!</v>
      </c>
      <c r="M60" s="74" t="e">
        <f t="shared" si="2"/>
        <v>#DIV/0!</v>
      </c>
      <c r="N60" s="82">
        <f>G60/G22</f>
        <v>0.23699999999999999</v>
      </c>
    </row>
    <row r="61" spans="1:15" s="32" customFormat="1" ht="17.25" customHeight="1">
      <c r="B61" s="190" t="s">
        <v>80</v>
      </c>
      <c r="C61" s="117"/>
      <c r="D61" s="117"/>
      <c r="E61" s="117"/>
      <c r="F61" s="117"/>
      <c r="G61" s="191">
        <f t="shared" si="5"/>
        <v>34128</v>
      </c>
      <c r="H61" s="191">
        <f>H62</f>
        <v>3792</v>
      </c>
      <c r="I61" s="191">
        <f>I62</f>
        <v>11376</v>
      </c>
      <c r="J61" s="191">
        <f>J62</f>
        <v>11376</v>
      </c>
      <c r="K61" s="191">
        <f>K62</f>
        <v>7584</v>
      </c>
      <c r="L61" s="192" t="e">
        <f>M61</f>
        <v>#DIV/0!</v>
      </c>
      <c r="M61" s="74" t="e">
        <f t="shared" si="2"/>
        <v>#DIV/0!</v>
      </c>
      <c r="N61" s="36"/>
    </row>
    <row r="62" spans="1:15" s="160" customFormat="1" ht="17.25" customHeight="1">
      <c r="B62" s="99" t="s">
        <v>81</v>
      </c>
      <c r="C62" s="93"/>
      <c r="D62" s="93"/>
      <c r="E62" s="93"/>
      <c r="F62" s="93"/>
      <c r="G62" s="49">
        <f t="shared" si="5"/>
        <v>34128</v>
      </c>
      <c r="H62" s="49">
        <f>H22*23.7%</f>
        <v>3792</v>
      </c>
      <c r="I62" s="49">
        <f>I22*23.7%</f>
        <v>11376</v>
      </c>
      <c r="J62" s="49">
        <f>J22*23.7%</f>
        <v>11376</v>
      </c>
      <c r="K62" s="49">
        <f>K22*23.7%</f>
        <v>7584</v>
      </c>
      <c r="L62" s="192" t="e">
        <f>G62/$N$9</f>
        <v>#DIV/0!</v>
      </c>
      <c r="M62" s="74" t="e">
        <f t="shared" si="2"/>
        <v>#DIV/0!</v>
      </c>
      <c r="N62" s="36"/>
      <c r="O62" s="32"/>
    </row>
    <row r="63" spans="1:15" s="160" customFormat="1" ht="17.25" hidden="1" customHeight="1">
      <c r="B63" s="99" t="s">
        <v>82</v>
      </c>
      <c r="C63" s="93"/>
      <c r="D63" s="93"/>
      <c r="E63" s="93"/>
      <c r="F63" s="93"/>
      <c r="G63" s="49">
        <f t="shared" si="5"/>
        <v>0</v>
      </c>
      <c r="H63" s="49"/>
      <c r="I63" s="49"/>
      <c r="J63" s="49"/>
      <c r="K63" s="49"/>
      <c r="L63" s="193" t="e">
        <f>G63/$N$9</f>
        <v>#DIV/0!</v>
      </c>
      <c r="M63" s="74" t="e">
        <f t="shared" si="2"/>
        <v>#DIV/0!</v>
      </c>
      <c r="N63" s="36"/>
      <c r="O63" s="32"/>
    </row>
    <row r="64" spans="1:15" s="160" customFormat="1" ht="17.25" hidden="1" customHeight="1">
      <c r="B64" s="144" t="s">
        <v>83</v>
      </c>
      <c r="C64" s="161"/>
      <c r="D64" s="161"/>
      <c r="E64" s="161"/>
      <c r="F64" s="161"/>
      <c r="G64" s="49">
        <f t="shared" si="5"/>
        <v>0</v>
      </c>
      <c r="H64" s="49"/>
      <c r="I64" s="49"/>
      <c r="J64" s="49"/>
      <c r="K64" s="49"/>
      <c r="L64" s="193"/>
      <c r="M64" s="74"/>
      <c r="N64" s="36"/>
      <c r="O64" s="32"/>
    </row>
    <row r="65" spans="2:15" s="122" customFormat="1" ht="17.25" hidden="1" customHeight="1">
      <c r="B65" s="144" t="s">
        <v>84</v>
      </c>
      <c r="C65" s="161"/>
      <c r="D65" s="161"/>
      <c r="E65" s="161"/>
      <c r="F65" s="161"/>
      <c r="G65" s="49">
        <f t="shared" si="5"/>
        <v>0</v>
      </c>
      <c r="H65" s="49"/>
      <c r="I65" s="49"/>
      <c r="J65" s="49"/>
      <c r="K65" s="49"/>
      <c r="L65" s="193" t="e">
        <f>M65</f>
        <v>#DIV/0!</v>
      </c>
      <c r="M65" s="74" t="e">
        <f t="shared" ref="M65:M73" si="6">G65/$N$9</f>
        <v>#DIV/0!</v>
      </c>
      <c r="N65" s="18"/>
      <c r="O65" s="19"/>
    </row>
    <row r="66" spans="2:15" s="122" customFormat="1" ht="17.25" hidden="1" customHeight="1">
      <c r="B66" s="99" t="s">
        <v>85</v>
      </c>
      <c r="C66" s="93"/>
      <c r="D66" s="93"/>
      <c r="E66" s="93"/>
      <c r="F66" s="93"/>
      <c r="G66" s="49">
        <f t="shared" si="5"/>
        <v>0</v>
      </c>
      <c r="H66" s="49"/>
      <c r="I66" s="49"/>
      <c r="J66" s="49"/>
      <c r="K66" s="49"/>
      <c r="L66" s="193" t="e">
        <f>G66/$N$9</f>
        <v>#DIV/0!</v>
      </c>
      <c r="M66" s="74" t="e">
        <f t="shared" si="6"/>
        <v>#DIV/0!</v>
      </c>
      <c r="N66" s="18"/>
      <c r="O66" s="19"/>
    </row>
    <row r="67" spans="2:15" s="115" customFormat="1" ht="16.5" hidden="1" customHeight="1">
      <c r="B67" s="120" t="s">
        <v>86</v>
      </c>
      <c r="C67" s="121"/>
      <c r="D67" s="121"/>
      <c r="E67" s="121"/>
      <c r="F67" s="121"/>
      <c r="G67" s="49">
        <f t="shared" si="5"/>
        <v>0</v>
      </c>
      <c r="H67" s="49"/>
      <c r="I67" s="49"/>
      <c r="J67" s="49"/>
      <c r="K67" s="49"/>
      <c r="L67" s="192" t="e">
        <f>L69+L70+L71</f>
        <v>#DIV/0!</v>
      </c>
      <c r="M67" s="74" t="e">
        <f t="shared" si="6"/>
        <v>#DIV/0!</v>
      </c>
      <c r="N67" s="36"/>
      <c r="O67" s="32"/>
    </row>
    <row r="68" spans="2:15" s="160" customFormat="1" ht="15" hidden="1" customHeight="1">
      <c r="B68" s="99" t="s">
        <v>87</v>
      </c>
      <c r="C68" s="194"/>
      <c r="D68" s="194"/>
      <c r="E68" s="194"/>
      <c r="F68" s="194"/>
      <c r="G68" s="49">
        <f t="shared" si="5"/>
        <v>0</v>
      </c>
      <c r="H68" s="49"/>
      <c r="I68" s="49"/>
      <c r="J68" s="49"/>
      <c r="K68" s="49"/>
      <c r="L68" s="193" t="e">
        <f>G68/$N$9</f>
        <v>#DIV/0!</v>
      </c>
      <c r="M68" s="74" t="e">
        <f t="shared" si="6"/>
        <v>#DIV/0!</v>
      </c>
      <c r="N68" s="36"/>
      <c r="O68" s="32"/>
    </row>
    <row r="69" spans="2:15" s="160" customFormat="1" ht="15" hidden="1" customHeight="1">
      <c r="B69" s="99" t="s">
        <v>88</v>
      </c>
      <c r="C69" s="93"/>
      <c r="D69" s="93"/>
      <c r="E69" s="93"/>
      <c r="F69" s="93"/>
      <c r="G69" s="49">
        <f t="shared" si="5"/>
        <v>0</v>
      </c>
      <c r="H69" s="49"/>
      <c r="I69" s="49"/>
      <c r="J69" s="49"/>
      <c r="K69" s="49"/>
      <c r="L69" s="193" t="e">
        <f>G69/$N$9</f>
        <v>#DIV/0!</v>
      </c>
      <c r="M69" s="74" t="e">
        <f t="shared" si="6"/>
        <v>#DIV/0!</v>
      </c>
      <c r="N69" s="36"/>
      <c r="O69" s="32"/>
    </row>
    <row r="70" spans="2:15" s="122" customFormat="1" ht="15" hidden="1" customHeight="1">
      <c r="B70" s="99" t="s">
        <v>89</v>
      </c>
      <c r="C70" s="93"/>
      <c r="D70" s="93"/>
      <c r="E70" s="93"/>
      <c r="F70" s="93"/>
      <c r="G70" s="49">
        <f t="shared" si="5"/>
        <v>0</v>
      </c>
      <c r="H70" s="49"/>
      <c r="I70" s="49"/>
      <c r="J70" s="49"/>
      <c r="K70" s="49"/>
      <c r="L70" s="193" t="e">
        <f>G70/$N$9</f>
        <v>#DIV/0!</v>
      </c>
      <c r="M70" s="74" t="e">
        <f t="shared" si="6"/>
        <v>#DIV/0!</v>
      </c>
      <c r="N70" s="18"/>
      <c r="O70" s="19"/>
    </row>
    <row r="71" spans="2:15" s="122" customFormat="1" ht="15" hidden="1" customHeight="1">
      <c r="B71" s="99" t="s">
        <v>90</v>
      </c>
      <c r="C71" s="93"/>
      <c r="D71" s="93"/>
      <c r="E71" s="93"/>
      <c r="F71" s="93"/>
      <c r="G71" s="49">
        <f t="shared" si="5"/>
        <v>0</v>
      </c>
      <c r="H71" s="49">
        <f>SUM(H72:H77)</f>
        <v>0</v>
      </c>
      <c r="I71" s="49">
        <f>SUM(I72:I77)</f>
        <v>0</v>
      </c>
      <c r="J71" s="49">
        <f>SUM(J72:J77)</f>
        <v>0</v>
      </c>
      <c r="K71" s="49">
        <f>SUM(K72:K77)</f>
        <v>0</v>
      </c>
      <c r="L71" s="177" t="e">
        <f>SUM(L72:L77)</f>
        <v>#DIV/0!</v>
      </c>
      <c r="M71" s="74" t="e">
        <f t="shared" si="6"/>
        <v>#DIV/0!</v>
      </c>
      <c r="N71" s="18"/>
      <c r="O71" s="19"/>
    </row>
    <row r="72" spans="2:15" s="122" customFormat="1" ht="15" hidden="1" customHeight="1">
      <c r="B72" s="195" t="s">
        <v>91</v>
      </c>
      <c r="C72" s="196"/>
      <c r="D72" s="196"/>
      <c r="E72" s="196"/>
      <c r="F72" s="197"/>
      <c r="G72" s="49">
        <f t="shared" si="5"/>
        <v>0</v>
      </c>
      <c r="H72" s="49"/>
      <c r="I72" s="49"/>
      <c r="J72" s="49"/>
      <c r="K72" s="49"/>
      <c r="L72" s="165" t="e">
        <f>M72</f>
        <v>#DIV/0!</v>
      </c>
      <c r="M72" s="74" t="e">
        <f t="shared" si="6"/>
        <v>#DIV/0!</v>
      </c>
      <c r="N72" s="18"/>
      <c r="O72" s="19"/>
    </row>
    <row r="73" spans="2:15" s="122" customFormat="1" ht="16.5" hidden="1" customHeight="1">
      <c r="B73" s="144" t="s">
        <v>92</v>
      </c>
      <c r="C73" s="161"/>
      <c r="D73" s="161"/>
      <c r="E73" s="161"/>
      <c r="F73" s="198"/>
      <c r="G73" s="153">
        <f t="shared" si="5"/>
        <v>0</v>
      </c>
      <c r="H73" s="49"/>
      <c r="I73" s="49"/>
      <c r="J73" s="49"/>
      <c r="K73" s="49"/>
      <c r="L73" s="106" t="e">
        <f>M73</f>
        <v>#DIV/0!</v>
      </c>
      <c r="M73" s="74" t="e">
        <f t="shared" si="6"/>
        <v>#DIV/0!</v>
      </c>
      <c r="N73" s="18"/>
      <c r="O73" s="19"/>
    </row>
    <row r="74" spans="2:15" s="122" customFormat="1" ht="15" hidden="1" customHeight="1">
      <c r="B74" s="144" t="s">
        <v>93</v>
      </c>
      <c r="C74" s="161"/>
      <c r="D74" s="161"/>
      <c r="E74" s="161"/>
      <c r="F74" s="198"/>
      <c r="G74" s="49">
        <f>+H74+I74+J74+K74</f>
        <v>0</v>
      </c>
      <c r="H74" s="49"/>
      <c r="I74" s="49"/>
      <c r="J74" s="49"/>
      <c r="K74" s="49"/>
      <c r="L74" s="199" t="e">
        <f>L22-L73-L28</f>
        <v>#DIV/0!</v>
      </c>
      <c r="M74" s="17" t="e">
        <f>G77/$N$9</f>
        <v>#DIV/0!</v>
      </c>
      <c r="N74" s="18"/>
      <c r="O74" s="19"/>
    </row>
    <row r="75" spans="2:15" s="122" customFormat="1" ht="15" hidden="1" customHeight="1">
      <c r="B75" s="99" t="s">
        <v>94</v>
      </c>
      <c r="C75" s="93"/>
      <c r="D75" s="93"/>
      <c r="E75" s="93"/>
      <c r="F75" s="200"/>
      <c r="G75" s="49">
        <f>SUM(H75:K75)</f>
        <v>0</v>
      </c>
      <c r="H75" s="49"/>
      <c r="I75" s="49"/>
      <c r="J75" s="49"/>
      <c r="K75" s="49"/>
      <c r="L75" s="193" t="e">
        <f>M75</f>
        <v>#DIV/0!</v>
      </c>
      <c r="M75" s="17" t="e">
        <f>G75/$N$9</f>
        <v>#DIV/0!</v>
      </c>
      <c r="N75" s="18"/>
      <c r="O75" s="19"/>
    </row>
    <row r="76" spans="2:15" s="122" customFormat="1" ht="15" hidden="1" customHeight="1">
      <c r="B76" s="99" t="s">
        <v>95</v>
      </c>
      <c r="C76" s="93"/>
      <c r="D76" s="93"/>
      <c r="E76" s="93"/>
      <c r="F76" s="200"/>
      <c r="G76" s="49">
        <f>SUM(H76:K76)</f>
        <v>0</v>
      </c>
      <c r="H76" s="49"/>
      <c r="I76" s="49"/>
      <c r="J76" s="49"/>
      <c r="K76" s="49"/>
      <c r="L76" s="119">
        <f>M76</f>
        <v>0</v>
      </c>
      <c r="M76" s="17"/>
      <c r="N76" s="18"/>
      <c r="O76" s="19"/>
    </row>
    <row r="77" spans="2:15" s="122" customFormat="1" ht="15" hidden="1" customHeight="1">
      <c r="B77" s="99" t="s">
        <v>96</v>
      </c>
      <c r="C77" s="93"/>
      <c r="D77" s="93"/>
      <c r="E77" s="93"/>
      <c r="F77" s="200"/>
      <c r="G77" s="49">
        <f>SUM(H77:K77)</f>
        <v>0</v>
      </c>
      <c r="H77" s="49"/>
      <c r="I77" s="49"/>
      <c r="J77" s="49"/>
      <c r="K77" s="49"/>
      <c r="L77" s="193">
        <f>M77</f>
        <v>0</v>
      </c>
      <c r="M77" s="17"/>
      <c r="N77" s="18"/>
      <c r="O77" s="19"/>
    </row>
    <row r="78" spans="2:15" s="128" customFormat="1" ht="15" hidden="1" customHeight="1">
      <c r="B78" s="170" t="s">
        <v>97</v>
      </c>
      <c r="C78" s="171"/>
      <c r="D78" s="171"/>
      <c r="E78" s="171"/>
      <c r="F78" s="171"/>
      <c r="G78" s="49">
        <f>SUM(H78:K78)</f>
        <v>0</v>
      </c>
      <c r="H78" s="49"/>
      <c r="I78" s="49"/>
      <c r="J78" s="49"/>
      <c r="K78" s="49"/>
      <c r="L78" s="119">
        <f>G78/7296</f>
        <v>0</v>
      </c>
      <c r="M78" s="17">
        <f>G78/7296</f>
        <v>0</v>
      </c>
      <c r="N78" s="149"/>
      <c r="O78" s="134"/>
    </row>
    <row r="79" spans="2:15" ht="36.75" customHeight="1">
      <c r="B79" s="23" t="s">
        <v>98</v>
      </c>
      <c r="C79" s="23"/>
      <c r="D79" s="23"/>
      <c r="E79" s="201"/>
      <c r="F79" s="23" t="s">
        <v>99</v>
      </c>
      <c r="G79" s="202"/>
      <c r="H79" s="20"/>
      <c r="I79" s="51"/>
      <c r="J79" s="20"/>
      <c r="K79" s="20"/>
      <c r="L79" s="203"/>
    </row>
    <row r="80" spans="2:15" ht="24.75" customHeight="1">
      <c r="B80" s="19" t="s">
        <v>100</v>
      </c>
      <c r="C80" s="19"/>
      <c r="D80" s="19"/>
      <c r="E80" s="204"/>
      <c r="F80" s="205" t="str">
        <f>' (смета) (2)'!F79</f>
        <v>А.Р. Саттарова</v>
      </c>
      <c r="G80" s="206"/>
      <c r="H80" s="20"/>
      <c r="I80" s="20"/>
      <c r="J80" s="20"/>
      <c r="K80" s="20"/>
      <c r="L80" s="207" t="e">
        <f>L22-L24-L29-L30-L31-L44-L45-L50-L56-L60</f>
        <v>#DIV/0!</v>
      </c>
    </row>
    <row r="81" spans="2:13" ht="24.75" customHeight="1">
      <c r="B81" s="19"/>
      <c r="C81" s="19"/>
      <c r="D81" s="19"/>
      <c r="E81" s="19"/>
      <c r="F81" s="19"/>
      <c r="G81" s="20"/>
      <c r="H81" s="20"/>
      <c r="I81" s="20"/>
      <c r="J81" s="20"/>
      <c r="K81" s="208"/>
      <c r="L81" s="207"/>
    </row>
    <row r="82" spans="2:13" ht="24.75" hidden="1" customHeight="1">
      <c r="B82" s="19"/>
      <c r="C82" s="19"/>
      <c r="D82" s="19"/>
      <c r="E82" s="19"/>
      <c r="F82" s="19"/>
      <c r="G82" s="20"/>
      <c r="H82" s="20"/>
      <c r="I82" s="20"/>
      <c r="J82" s="20"/>
      <c r="K82" s="208"/>
      <c r="L82" s="207"/>
    </row>
    <row r="83" spans="2:13" ht="18.75" customHeight="1">
      <c r="B83" s="19"/>
      <c r="C83" s="19"/>
      <c r="D83" s="19"/>
      <c r="E83" s="52"/>
      <c r="F83" s="209"/>
      <c r="H83" s="209"/>
      <c r="I83" s="210"/>
      <c r="J83" s="20"/>
      <c r="K83" s="20"/>
    </row>
    <row r="84" spans="2:13" ht="12.75" customHeight="1">
      <c r="I84" s="210"/>
      <c r="J84" s="20"/>
      <c r="K84" s="20"/>
    </row>
    <row r="85" spans="2:13" ht="18.75" customHeight="1">
      <c r="I85" s="210"/>
      <c r="J85" s="20"/>
      <c r="K85" s="20"/>
    </row>
    <row r="86" spans="2:13" ht="12.75" customHeight="1">
      <c r="I86" s="210"/>
      <c r="L86" s="211" t="e">
        <f>L24+L29+L31+L45+L50+L56+L60+L30+L26</f>
        <v>#DIV/0!</v>
      </c>
      <c r="M86" s="212" t="e">
        <f>M24+M29+M31+M45+M50+M56+M60+M30+M26</f>
        <v>#DIV/0!</v>
      </c>
    </row>
    <row r="87" spans="2:13" ht="12.75" customHeight="1">
      <c r="I87" s="210"/>
    </row>
    <row r="88" spans="2:13" ht="12.75" customHeight="1">
      <c r="C88" s="213"/>
      <c r="L88" s="214"/>
    </row>
    <row r="89" spans="2:13" ht="12.75" customHeight="1">
      <c r="I89" s="210"/>
    </row>
    <row r="90" spans="2:13" ht="12.75" customHeight="1">
      <c r="I90" s="210"/>
    </row>
    <row r="91" spans="2:13" ht="12.75" customHeight="1">
      <c r="I91" s="210"/>
    </row>
    <row r="92" spans="2:13" ht="12.75" customHeight="1">
      <c r="I92" s="210"/>
    </row>
    <row r="93" spans="2:13" ht="12.75" customHeight="1">
      <c r="I93" s="210"/>
    </row>
    <row r="94" spans="2:13" ht="12.75" customHeight="1">
      <c r="I94" s="210"/>
    </row>
    <row r="95" spans="2:13" ht="12.75" customHeight="1">
      <c r="I95" s="210"/>
    </row>
    <row r="96" spans="2:13" ht="12.75" customHeight="1">
      <c r="I96" s="210"/>
    </row>
  </sheetData>
  <mergeCells count="7">
    <mergeCell ref="B51:D51"/>
    <mergeCell ref="B2:K2"/>
    <mergeCell ref="B3:K3"/>
    <mergeCell ref="P3:S3"/>
    <mergeCell ref="H20:I20"/>
    <mergeCell ref="J20:K20"/>
    <mergeCell ref="N20:N21"/>
  </mergeCells>
  <pageMargins left="0.59027777777777801" right="0.196527777777778" top="0.17013888888888901" bottom="0.15972222222222199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2:IW53"/>
  <sheetViews>
    <sheetView view="pageBreakPreview" zoomScale="80" zoomScaleNormal="100" zoomScalePageLayoutView="80" workbookViewId="0">
      <selection activeCell="D7" sqref="D7"/>
    </sheetView>
  </sheetViews>
  <sheetFormatPr defaultColWidth="9.140625" defaultRowHeight="12.75"/>
  <cols>
    <col min="1" max="1" width="2.42578125" style="15" customWidth="1"/>
    <col min="2" max="2" width="4.7109375" style="15" customWidth="1"/>
    <col min="3" max="3" width="44.140625" style="15" customWidth="1"/>
    <col min="4" max="4" width="15.5703125" style="15" customWidth="1"/>
    <col min="5" max="5" width="13.42578125" style="15" hidden="1" customWidth="1"/>
    <col min="6" max="7" width="9.140625" style="15"/>
    <col min="8" max="8" width="11.5703125" style="15" customWidth="1"/>
    <col min="9" max="257" width="9.140625" style="15"/>
  </cols>
  <sheetData>
    <row r="2" spans="2:10" ht="15.75">
      <c r="B2" s="19"/>
      <c r="C2" s="19"/>
      <c r="D2" s="19" t="s">
        <v>120</v>
      </c>
      <c r="E2" s="19"/>
      <c r="F2" s="19"/>
      <c r="G2" s="19"/>
    </row>
    <row r="3" spans="2:10" ht="48.75" customHeight="1">
      <c r="B3" s="19"/>
      <c r="C3" s="19"/>
      <c r="D3" s="5" t="str">
        <f>' (смета)'!C5</f>
        <v>"Центр дополнительного образования детей им.В.Волошиной"</v>
      </c>
      <c r="E3" s="5"/>
      <c r="F3" s="5"/>
      <c r="G3" s="5"/>
    </row>
    <row r="4" spans="2:10" ht="15.75">
      <c r="B4" s="19"/>
      <c r="C4" s="19"/>
      <c r="D4" s="204"/>
      <c r="E4" s="19"/>
      <c r="F4" s="19" t="str">
        <f>' (смета)'!F81</f>
        <v xml:space="preserve"> И.П. Чередова</v>
      </c>
      <c r="G4" s="19"/>
    </row>
    <row r="5" spans="2:10" ht="15.75">
      <c r="B5" s="19"/>
      <c r="C5" s="19"/>
      <c r="D5" s="19"/>
      <c r="E5" s="19"/>
      <c r="F5" s="19"/>
      <c r="G5" s="19"/>
    </row>
    <row r="6" spans="2:10" ht="15.75">
      <c r="B6" s="19"/>
      <c r="C6" s="19"/>
      <c r="D6" s="219" t="s">
        <v>121</v>
      </c>
      <c r="E6" s="219"/>
      <c r="F6" s="219"/>
      <c r="G6" s="19"/>
      <c r="H6" s="237"/>
      <c r="I6" s="238"/>
      <c r="J6" s="238"/>
    </row>
    <row r="7" spans="2:10" ht="15.75">
      <c r="B7" s="19"/>
      <c r="C7" s="19"/>
      <c r="D7" s="19"/>
      <c r="E7" s="19"/>
      <c r="F7" s="19"/>
      <c r="G7" s="19"/>
    </row>
    <row r="8" spans="2:10" ht="15.75">
      <c r="B8" s="4" t="s">
        <v>122</v>
      </c>
      <c r="C8" s="4"/>
      <c r="D8" s="4"/>
      <c r="E8" s="19"/>
      <c r="F8" s="19"/>
      <c r="G8" s="19"/>
    </row>
    <row r="9" spans="2:10" ht="15.75">
      <c r="B9" s="7" t="s">
        <v>123</v>
      </c>
      <c r="C9" s="7"/>
      <c r="D9" s="7"/>
      <c r="E9" s="18"/>
      <c r="F9" s="19"/>
      <c r="G9" s="19"/>
    </row>
    <row r="10" spans="2:10" ht="15.75">
      <c r="B10" s="18"/>
      <c r="C10" s="51" t="str">
        <f>' (смета) (3)'!D6</f>
        <v>"Английский для малышей 6-8 лет"</v>
      </c>
      <c r="D10" s="18"/>
      <c r="E10" s="18"/>
      <c r="F10" s="19"/>
      <c r="G10" s="19"/>
    </row>
    <row r="11" spans="2:10" ht="15.75">
      <c r="B11" s="51"/>
      <c r="C11" s="18" t="str">
        <f>' (смета) (3)'!B7</f>
        <v>По программе:</v>
      </c>
      <c r="D11" s="18"/>
      <c r="E11" s="18"/>
      <c r="F11" s="19"/>
      <c r="G11" s="19"/>
    </row>
    <row r="12" spans="2:10" ht="15.75">
      <c r="B12" s="51"/>
      <c r="C12" s="18" t="str">
        <f>' (смета) (3)'!D7</f>
        <v xml:space="preserve">Английский для малышей </v>
      </c>
      <c r="D12" s="18"/>
      <c r="E12" s="18"/>
      <c r="F12" s="19"/>
      <c r="G12" s="19"/>
    </row>
    <row r="13" spans="2:10" ht="15.75">
      <c r="B13" s="3" t="str">
        <f>' (смета)'!B3:K3</f>
        <v xml:space="preserve">                 На  2024-2025 учебный год  (сентябрь -май)</v>
      </c>
      <c r="C13" s="3"/>
      <c r="D13" s="3"/>
      <c r="E13" s="3"/>
      <c r="F13" s="19"/>
      <c r="G13" s="19"/>
    </row>
    <row r="14" spans="2:10" ht="24.75" customHeight="1">
      <c r="B14" s="223" t="s">
        <v>124</v>
      </c>
      <c r="C14" s="223" t="s">
        <v>125</v>
      </c>
      <c r="D14" s="223" t="s">
        <v>126</v>
      </c>
      <c r="E14" s="239" t="s">
        <v>127</v>
      </c>
    </row>
    <row r="15" spans="2:10" ht="16.5" customHeight="1">
      <c r="B15" s="240">
        <v>1</v>
      </c>
      <c r="C15" s="241" t="s">
        <v>128</v>
      </c>
      <c r="D15" s="242">
        <f>SUM(D16:D25)</f>
        <v>86400.000000000015</v>
      </c>
      <c r="E15" s="243">
        <f>SUM(E16:E24)</f>
        <v>0</v>
      </c>
    </row>
    <row r="16" spans="2:10" ht="15.75">
      <c r="B16" s="244" t="s">
        <v>129</v>
      </c>
      <c r="C16" s="245" t="s">
        <v>3</v>
      </c>
      <c r="D16" s="49">
        <f>'резерв отпускных (3)'!D14</f>
        <v>58432.55060474042</v>
      </c>
      <c r="E16" s="246"/>
    </row>
    <row r="17" spans="2:5" ht="15.75">
      <c r="B17" s="244" t="s">
        <v>130</v>
      </c>
      <c r="C17" s="245" t="s">
        <v>131</v>
      </c>
      <c r="D17" s="49">
        <f>'резерв отпускных (3)'!D15</f>
        <v>17645.630282631606</v>
      </c>
      <c r="E17" s="246"/>
    </row>
    <row r="18" spans="2:5" ht="15.75">
      <c r="B18" s="244" t="s">
        <v>132</v>
      </c>
      <c r="C18" s="245" t="s">
        <v>133</v>
      </c>
      <c r="D18" s="49">
        <f>'резерв отпускных (3)'!D13+1</f>
        <v>10321.819112627985</v>
      </c>
      <c r="E18" s="246"/>
    </row>
    <row r="19" spans="2:5" ht="15.75" hidden="1">
      <c r="B19" s="244" t="s">
        <v>134</v>
      </c>
      <c r="C19" s="245"/>
      <c r="D19" s="247"/>
      <c r="E19" s="246"/>
    </row>
    <row r="20" spans="2:5" ht="15.75" hidden="1">
      <c r="B20" s="244" t="s">
        <v>135</v>
      </c>
      <c r="C20" s="245"/>
      <c r="D20" s="247"/>
      <c r="E20" s="246"/>
    </row>
    <row r="21" spans="2:5" ht="15.75" hidden="1">
      <c r="B21" s="244" t="s">
        <v>136</v>
      </c>
      <c r="C21" s="245"/>
      <c r="D21" s="247"/>
      <c r="E21" s="246"/>
    </row>
    <row r="22" spans="2:5" ht="15.75" hidden="1">
      <c r="B22" s="244" t="s">
        <v>137</v>
      </c>
      <c r="C22" s="245"/>
      <c r="D22" s="247"/>
      <c r="E22" s="246"/>
    </row>
    <row r="23" spans="2:5" ht="25.5" hidden="1" customHeight="1">
      <c r="B23" s="244" t="s">
        <v>138</v>
      </c>
      <c r="C23" s="245"/>
      <c r="D23" s="245"/>
      <c r="E23" s="246"/>
    </row>
    <row r="24" spans="2:5" ht="15.75" hidden="1">
      <c r="B24" s="244" t="s">
        <v>139</v>
      </c>
      <c r="C24" s="245"/>
      <c r="D24" s="245"/>
      <c r="E24" s="246"/>
    </row>
    <row r="25" spans="2:5" ht="15.75" hidden="1">
      <c r="B25" s="60"/>
      <c r="C25" s="245"/>
      <c r="D25" s="247"/>
      <c r="E25" s="246"/>
    </row>
    <row r="26" spans="2:5" ht="15.75">
      <c r="B26" s="240">
        <v>2</v>
      </c>
      <c r="C26" s="241" t="s">
        <v>140</v>
      </c>
      <c r="D26" s="248">
        <f>D27+D38+D43+D44+D42+D41+D39+D40</f>
        <v>57600</v>
      </c>
      <c r="E26" s="243">
        <f>E27+E38+E41+E42+E43+E44</f>
        <v>0</v>
      </c>
    </row>
    <row r="27" spans="2:5" ht="31.5" hidden="1">
      <c r="B27" s="244" t="s">
        <v>141</v>
      </c>
      <c r="C27" s="249" t="s">
        <v>142</v>
      </c>
      <c r="D27" s="49">
        <f>D28+D37</f>
        <v>0</v>
      </c>
      <c r="E27" s="246">
        <f>E28+E37</f>
        <v>0</v>
      </c>
    </row>
    <row r="28" spans="2:5" ht="15.75" hidden="1">
      <c r="B28" s="244" t="s">
        <v>143</v>
      </c>
      <c r="C28" s="143" t="s">
        <v>3</v>
      </c>
      <c r="D28" s="49">
        <f>SUM(D29:D36)</f>
        <v>0</v>
      </c>
      <c r="E28" s="246">
        <f>SUM(E29:E36)</f>
        <v>0</v>
      </c>
    </row>
    <row r="29" spans="2:5" ht="15.75" hidden="1">
      <c r="B29" s="244"/>
      <c r="C29" s="143" t="s">
        <v>144</v>
      </c>
      <c r="D29" s="49"/>
      <c r="E29" s="246"/>
    </row>
    <row r="30" spans="2:5" ht="15.75" hidden="1">
      <c r="B30" s="244"/>
      <c r="C30" s="143" t="s">
        <v>145</v>
      </c>
      <c r="D30" s="247"/>
      <c r="E30" s="246"/>
    </row>
    <row r="31" spans="2:5" ht="15.75" hidden="1">
      <c r="B31" s="244"/>
      <c r="C31" s="143" t="s">
        <v>146</v>
      </c>
      <c r="D31" s="247"/>
      <c r="E31" s="246"/>
    </row>
    <row r="32" spans="2:5" ht="15.75" hidden="1">
      <c r="B32" s="244"/>
      <c r="C32" s="143" t="s">
        <v>147</v>
      </c>
      <c r="D32" s="247"/>
      <c r="E32" s="246"/>
    </row>
    <row r="33" spans="2:5" ht="15.75" hidden="1">
      <c r="B33" s="244"/>
      <c r="C33" s="143" t="s">
        <v>148</v>
      </c>
      <c r="D33" s="49">
        <f>+' (смета)'!G56/1.271</f>
        <v>0</v>
      </c>
      <c r="E33" s="246"/>
    </row>
    <row r="34" spans="2:5" ht="15.75" hidden="1">
      <c r="B34" s="244"/>
      <c r="C34" s="143" t="s">
        <v>149</v>
      </c>
      <c r="D34" s="247"/>
      <c r="E34" s="246"/>
    </row>
    <row r="35" spans="2:5" ht="15.75" hidden="1">
      <c r="B35" s="244"/>
      <c r="C35" s="143" t="s">
        <v>150</v>
      </c>
      <c r="D35" s="247"/>
      <c r="E35" s="246"/>
    </row>
    <row r="36" spans="2:5" ht="15.75" hidden="1">
      <c r="B36" s="244"/>
      <c r="C36" s="143" t="s">
        <v>151</v>
      </c>
      <c r="D36" s="247"/>
      <c r="E36" s="246"/>
    </row>
    <row r="37" spans="2:5" ht="15.75" hidden="1">
      <c r="B37" s="244" t="s">
        <v>152</v>
      </c>
      <c r="C37" s="143" t="s">
        <v>131</v>
      </c>
      <c r="D37" s="49">
        <f>D28*27.1%</f>
        <v>0</v>
      </c>
      <c r="E37" s="246">
        <f>E28*26.2%</f>
        <v>0</v>
      </c>
    </row>
    <row r="38" spans="2:5" ht="15.75">
      <c r="B38" s="244" t="s">
        <v>153</v>
      </c>
      <c r="C38" s="245" t="s">
        <v>154</v>
      </c>
      <c r="D38" s="49">
        <f>' (смета) (3)'!G31</f>
        <v>14400</v>
      </c>
      <c r="E38" s="246"/>
    </row>
    <row r="39" spans="2:5" ht="31.5" customHeight="1">
      <c r="B39" s="250" t="s">
        <v>155</v>
      </c>
      <c r="C39" s="251" t="s">
        <v>156</v>
      </c>
      <c r="D39" s="49">
        <f>' (смета) (3)'!G51</f>
        <v>7200</v>
      </c>
      <c r="E39" s="246"/>
    </row>
    <row r="40" spans="2:5" ht="16.5" customHeight="1">
      <c r="B40" s="250" t="s">
        <v>157</v>
      </c>
      <c r="C40" s="251" t="s">
        <v>158</v>
      </c>
      <c r="D40" s="49">
        <f>' (смета) (3)'!G52</f>
        <v>1872</v>
      </c>
      <c r="E40" s="246"/>
    </row>
    <row r="41" spans="2:5" ht="15.75">
      <c r="B41" s="244" t="s">
        <v>159</v>
      </c>
      <c r="C41" s="245" t="s">
        <v>160</v>
      </c>
      <c r="D41" s="49">
        <f>' (смета) (3)'!G73</f>
        <v>0</v>
      </c>
      <c r="E41" s="246"/>
    </row>
    <row r="42" spans="2:5" ht="15.75">
      <c r="B42" s="244" t="s">
        <v>161</v>
      </c>
      <c r="C42" s="99" t="s">
        <v>162</v>
      </c>
      <c r="D42" s="252">
        <f>+' (смета) (3)'!G74</f>
        <v>0</v>
      </c>
      <c r="E42" s="93"/>
    </row>
    <row r="43" spans="2:5" ht="15.75">
      <c r="B43" s="244" t="s">
        <v>163</v>
      </c>
      <c r="C43" s="245" t="s">
        <v>164</v>
      </c>
      <c r="D43" s="247">
        <f>' (смета) (3)'!G62</f>
        <v>34128</v>
      </c>
      <c r="E43" s="246"/>
    </row>
    <row r="44" spans="2:5" ht="15.75">
      <c r="B44" s="244" t="s">
        <v>165</v>
      </c>
      <c r="C44" s="249" t="s">
        <v>166</v>
      </c>
      <c r="D44" s="247">
        <f>' (смета) (3)'!G75</f>
        <v>0</v>
      </c>
      <c r="E44" s="246"/>
    </row>
    <row r="45" spans="2:5" ht="18.75" customHeight="1">
      <c r="B45" s="240">
        <v>3</v>
      </c>
      <c r="C45" s="241" t="s">
        <v>167</v>
      </c>
      <c r="D45" s="248">
        <f>D15+D26</f>
        <v>144000</v>
      </c>
      <c r="E45" s="243">
        <f>E15+E26</f>
        <v>0</v>
      </c>
    </row>
    <row r="46" spans="2:5" ht="15.75">
      <c r="B46" s="60"/>
      <c r="C46" s="245"/>
      <c r="D46" s="247"/>
      <c r="E46" s="246"/>
    </row>
    <row r="47" spans="2:5" ht="15.75">
      <c r="B47" s="60">
        <v>4</v>
      </c>
      <c r="C47" s="245" t="s">
        <v>168</v>
      </c>
      <c r="D47" s="49">
        <f>' (смета) (3)'!E8</f>
        <v>8</v>
      </c>
      <c r="E47" s="246"/>
    </row>
    <row r="48" spans="2:5" ht="15.75">
      <c r="B48" s="60">
        <v>5</v>
      </c>
      <c r="C48" s="245" t="s">
        <v>169</v>
      </c>
      <c r="D48" s="49">
        <f>' (смета) (3)'!E14</f>
        <v>72</v>
      </c>
      <c r="E48" s="246"/>
    </row>
    <row r="49" spans="2:8" ht="15.75">
      <c r="B49" s="240">
        <v>6</v>
      </c>
      <c r="C49" s="241" t="s">
        <v>170</v>
      </c>
      <c r="D49" s="248">
        <f>D45/D47/D48</f>
        <v>250</v>
      </c>
      <c r="E49" s="243"/>
    </row>
    <row r="50" spans="2:8" ht="15.75">
      <c r="B50" s="19"/>
      <c r="C50" s="19"/>
      <c r="D50" s="19"/>
    </row>
    <row r="51" spans="2:8" ht="15.75">
      <c r="B51" s="19" t="s">
        <v>171</v>
      </c>
      <c r="C51" s="20" t="str">
        <f>' (смета) (3)'!F80</f>
        <v>А.Р. Саттарова</v>
      </c>
      <c r="D51" s="19"/>
      <c r="E51" s="204"/>
      <c r="F51" s="52"/>
      <c r="G51" s="2"/>
      <c r="H51" s="2"/>
    </row>
    <row r="52" spans="2:8" ht="15.75">
      <c r="B52" s="19"/>
      <c r="C52" s="19"/>
      <c r="D52" s="19"/>
      <c r="E52" s="19"/>
      <c r="F52" s="19"/>
      <c r="G52" s="20"/>
      <c r="H52" s="20"/>
    </row>
    <row r="53" spans="2:8" ht="15.75">
      <c r="B53" s="19"/>
      <c r="C53" s="19"/>
      <c r="D53" s="19"/>
      <c r="E53" s="204"/>
      <c r="F53" s="52"/>
      <c r="G53" s="8"/>
      <c r="H53" s="8"/>
    </row>
  </sheetData>
  <mergeCells count="6">
    <mergeCell ref="G53:H53"/>
    <mergeCell ref="D3:G3"/>
    <mergeCell ref="B8:D8"/>
    <mergeCell ref="B9:D9"/>
    <mergeCell ref="B13:E13"/>
    <mergeCell ref="G51:H51"/>
  </mergeCells>
  <pageMargins left="0.75" right="0.75" top="1" bottom="1" header="0.511811023622047" footer="0.511811023622047"/>
  <pageSetup paperSize="9" scale="9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2:IW20"/>
  <sheetViews>
    <sheetView view="pageBreakPreview" zoomScale="80" zoomScaleNormal="100" zoomScalePageLayoutView="80" workbookViewId="0">
      <selection activeCell="I15" sqref="I15"/>
    </sheetView>
  </sheetViews>
  <sheetFormatPr defaultColWidth="9.140625" defaultRowHeight="15.75"/>
  <cols>
    <col min="1" max="1" width="2.42578125" style="19" customWidth="1"/>
    <col min="2" max="2" width="7.85546875" style="19" customWidth="1"/>
    <col min="3" max="3" width="53.5703125" style="19" customWidth="1"/>
    <col min="4" max="4" width="17.85546875" style="19" customWidth="1"/>
    <col min="5" max="5" width="4.5703125" style="19" customWidth="1"/>
    <col min="6" max="7" width="9.140625" style="19"/>
    <col min="8" max="8" width="9.42578125" style="19" customWidth="1"/>
    <col min="9" max="257" width="9.140625" style="19"/>
  </cols>
  <sheetData>
    <row r="2" spans="2:7">
      <c r="B2" s="7" t="str">
        <f>' (смета) (3)'!C4</f>
        <v xml:space="preserve">Муниципальное бюджетное образовательное учреждение  дополнительного образования        </v>
      </c>
      <c r="C2" s="7"/>
      <c r="D2" s="7"/>
      <c r="E2" s="215"/>
    </row>
    <row r="3" spans="2:7">
      <c r="B3" s="7" t="str">
        <f>' (смета) (3)'!C5</f>
        <v>"Центр дополнительного образования детей им.В.Волошиной"</v>
      </c>
      <c r="C3" s="7"/>
      <c r="D3" s="7"/>
      <c r="E3" s="215"/>
    </row>
    <row r="4" spans="2:7">
      <c r="C4" s="42"/>
    </row>
    <row r="5" spans="2:7">
      <c r="B5" s="6" t="s">
        <v>102</v>
      </c>
      <c r="C5" s="6"/>
      <c r="D5" s="6"/>
      <c r="E5" s="216"/>
    </row>
    <row r="6" spans="2:7">
      <c r="B6" s="216"/>
      <c r="C6" s="216" t="str">
        <f>' (смета)'!B3</f>
        <v xml:space="preserve">                 На  2024-2025 учебный год  (сентябрь -май)</v>
      </c>
      <c r="D6" s="216"/>
      <c r="E6" s="216"/>
    </row>
    <row r="7" spans="2:7" ht="15.75" customHeight="1">
      <c r="B7" s="283" t="str">
        <f>' (смета) (3)'!D6</f>
        <v>"Английский для малышей 6-8 лет"</v>
      </c>
      <c r="C7" s="283"/>
      <c r="D7" s="283"/>
      <c r="E7" s="215"/>
    </row>
    <row r="8" spans="2:7" s="32" customFormat="1">
      <c r="B8" s="264"/>
      <c r="C8" s="218" t="s">
        <v>181</v>
      </c>
      <c r="D8" s="218"/>
      <c r="E8" s="209"/>
      <c r="F8" s="19"/>
    </row>
    <row r="9" spans="2:7" ht="33" customHeight="1">
      <c r="B9" s="222" t="s">
        <v>104</v>
      </c>
      <c r="C9" s="223" t="s">
        <v>105</v>
      </c>
      <c r="D9" s="223" t="s">
        <v>106</v>
      </c>
      <c r="E9" s="224"/>
      <c r="F9" s="18" t="s">
        <v>107</v>
      </c>
      <c r="G9" s="18" t="s">
        <v>108</v>
      </c>
    </row>
    <row r="10" spans="2:7" ht="23.25" customHeight="1">
      <c r="B10" s="223">
        <v>1</v>
      </c>
      <c r="C10" s="225" t="s">
        <v>109</v>
      </c>
      <c r="D10" s="226">
        <f>(' (смета) (3)'!G25/9)/29.3*F10</f>
        <v>7926.8963998678846</v>
      </c>
      <c r="E10" s="227"/>
      <c r="F10" s="228">
        <f>42/12*9</f>
        <v>31.5</v>
      </c>
      <c r="G10" s="228">
        <f>F10/9</f>
        <v>3.5</v>
      </c>
    </row>
    <row r="11" spans="2:7" ht="33" customHeight="1">
      <c r="B11" s="223">
        <v>2</v>
      </c>
      <c r="C11" s="229" t="s">
        <v>110</v>
      </c>
      <c r="D11" s="230">
        <f>D10*30.2%</f>
        <v>2393.9227127601011</v>
      </c>
      <c r="E11" s="231"/>
    </row>
    <row r="12" spans="2:7" ht="33" hidden="1" customHeight="1">
      <c r="B12" s="223">
        <v>3</v>
      </c>
      <c r="C12" s="229" t="s">
        <v>111</v>
      </c>
      <c r="D12" s="230"/>
      <c r="E12" s="231"/>
    </row>
    <row r="13" spans="2:7" ht="54" customHeight="1">
      <c r="B13" s="223">
        <v>3</v>
      </c>
      <c r="C13" s="229" t="s">
        <v>112</v>
      </c>
      <c r="D13" s="230">
        <f>D10+D11-D12</f>
        <v>10320.819112627985</v>
      </c>
      <c r="E13" s="231"/>
    </row>
    <row r="14" spans="2:7" ht="33" customHeight="1">
      <c r="B14" s="223">
        <v>4</v>
      </c>
      <c r="C14" s="229" t="s">
        <v>113</v>
      </c>
      <c r="D14" s="232">
        <f>' (смета) (3)'!G25-D10</f>
        <v>58432.55060474042</v>
      </c>
      <c r="E14" s="227"/>
    </row>
    <row r="15" spans="2:7" ht="33" customHeight="1">
      <c r="B15" s="223">
        <v>5</v>
      </c>
      <c r="C15" s="229" t="s">
        <v>114</v>
      </c>
      <c r="D15" s="230">
        <f>D14*30.2%-1</f>
        <v>17645.630282631606</v>
      </c>
      <c r="E15" s="231"/>
    </row>
    <row r="16" spans="2:7" ht="33" customHeight="1">
      <c r="B16" s="223">
        <v>6</v>
      </c>
      <c r="C16" s="229" t="s">
        <v>115</v>
      </c>
      <c r="D16" s="230">
        <f>D14+D15</f>
        <v>76078.180887372029</v>
      </c>
      <c r="E16" s="231"/>
    </row>
    <row r="17" spans="2:5" ht="33" customHeight="1">
      <c r="B17" s="223">
        <v>7</v>
      </c>
      <c r="C17" s="229" t="s">
        <v>116</v>
      </c>
      <c r="D17" s="233">
        <f>D13/D16</f>
        <v>0.13566069788008173</v>
      </c>
      <c r="E17" s="234"/>
    </row>
    <row r="18" spans="2:5" ht="49.5" customHeight="1">
      <c r="B18" s="223">
        <v>8</v>
      </c>
      <c r="C18" s="229" t="s">
        <v>117</v>
      </c>
      <c r="D18" s="235" t="s">
        <v>118</v>
      </c>
      <c r="E18" s="236"/>
    </row>
    <row r="20" spans="2:5">
      <c r="B20" s="19" t="s">
        <v>119</v>
      </c>
      <c r="D20" s="20" t="str">
        <f>'калькуляция (3)'!C51</f>
        <v>А.Р. Саттарова</v>
      </c>
    </row>
  </sheetData>
  <mergeCells count="4">
    <mergeCell ref="B2:D2"/>
    <mergeCell ref="B3:D3"/>
    <mergeCell ref="B5:D5"/>
    <mergeCell ref="B7:D7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22</vt:i4>
      </vt:variant>
    </vt:vector>
  </HeadingPairs>
  <TitlesOfParts>
    <vt:vector size="48" baseType="lpstr">
      <vt:lpstr> (смета)</vt:lpstr>
      <vt:lpstr>резерв отпускных</vt:lpstr>
      <vt:lpstr>калькуляция</vt:lpstr>
      <vt:lpstr> (смета) (2)</vt:lpstr>
      <vt:lpstr>калькуляция (2)</vt:lpstr>
      <vt:lpstr>резерв отпускных (2)</vt:lpstr>
      <vt:lpstr> (смета) (3)</vt:lpstr>
      <vt:lpstr>калькуляция (3)</vt:lpstr>
      <vt:lpstr>резерв отпускных (3)</vt:lpstr>
      <vt:lpstr> (смета) (4)</vt:lpstr>
      <vt:lpstr>калькуляция (4)</vt:lpstr>
      <vt:lpstr>резерв отпускных (4)</vt:lpstr>
      <vt:lpstr> (смета) (5)</vt:lpstr>
      <vt:lpstr>калькуляция (5)</vt:lpstr>
      <vt:lpstr>резерв отпускных (5)</vt:lpstr>
      <vt:lpstr> (смета) (6)</vt:lpstr>
      <vt:lpstr>калькуляция (6)</vt:lpstr>
      <vt:lpstr>резерв отпускных (6)</vt:lpstr>
      <vt:lpstr>свод</vt:lpstr>
      <vt:lpstr>Лист2</vt:lpstr>
      <vt:lpstr>Лист12</vt:lpstr>
      <vt:lpstr>Лист1</vt:lpstr>
      <vt:lpstr>резерв СВОД</vt:lpstr>
      <vt:lpstr>Лист3</vt:lpstr>
      <vt:lpstr>резерв отпускных (7)</vt:lpstr>
      <vt:lpstr>резерв отпускных_2_2</vt:lpstr>
      <vt:lpstr>' (смета)'!Область_печати</vt:lpstr>
      <vt:lpstr>' (смета) (2)'!Область_печати</vt:lpstr>
      <vt:lpstr>' (смета) (3)'!Область_печати</vt:lpstr>
      <vt:lpstr>' (смета) (4)'!Область_печати</vt:lpstr>
      <vt:lpstr>' (смета) (5)'!Область_печати</vt:lpstr>
      <vt:lpstr>' (смета) (6)'!Область_печати</vt:lpstr>
      <vt:lpstr>калькуляция!Область_печати</vt:lpstr>
      <vt:lpstr>'калькуляция (2)'!Область_печати</vt:lpstr>
      <vt:lpstr>'калькуляция (3)'!Область_печати</vt:lpstr>
      <vt:lpstr>'калькуляция (4)'!Область_печати</vt:lpstr>
      <vt:lpstr>'калькуляция (5)'!Область_печати</vt:lpstr>
      <vt:lpstr>'калькуляция (6)'!Область_печати</vt:lpstr>
      <vt:lpstr>'резерв отпускных'!Область_печати</vt:lpstr>
      <vt:lpstr>'резерв отпускных (2)'!Область_печати</vt:lpstr>
      <vt:lpstr>'резерв отпускных (3)'!Область_печати</vt:lpstr>
      <vt:lpstr>'резерв отпускных (4)'!Область_печати</vt:lpstr>
      <vt:lpstr>'резерв отпускных (5)'!Область_печати</vt:lpstr>
      <vt:lpstr>'резерв отпускных (6)'!Область_печати</vt:lpstr>
      <vt:lpstr>'резерв отпускных (7)'!Область_печати</vt:lpstr>
      <vt:lpstr>'резерв отпускных_2_2'!Область_печати</vt:lpstr>
      <vt:lpstr>'резерв СВОД'!Область_печати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2223E</dc:creator>
  <dc:description/>
  <cp:lastModifiedBy>User</cp:lastModifiedBy>
  <cp:revision>7</cp:revision>
  <cp:lastPrinted>2024-05-30T09:16:57Z</cp:lastPrinted>
  <dcterms:created xsi:type="dcterms:W3CDTF">2005-10-07T12:51:16Z</dcterms:created>
  <dcterms:modified xsi:type="dcterms:W3CDTF">2024-10-31T14:13:12Z</dcterms:modified>
  <dc:language>ru-RU</dc:language>
</cp:coreProperties>
</file>