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 (смета)" sheetId="1" r:id="rId1"/>
    <sheet name="резерв отпускных" sheetId="2" r:id="rId2"/>
    <sheet name="калькуляция" sheetId="3" r:id="rId3"/>
    <sheet name=" (смета) (2)" sheetId="4" r:id="rId4"/>
    <sheet name="калькуляция (2)" sheetId="5" r:id="rId5"/>
    <sheet name="резерв отпускных (2)" sheetId="6" r:id="rId6"/>
    <sheet name="по педагогам (не надо печатать" sheetId="7" r:id="rId7"/>
    <sheet name=" (смета) (3)" sheetId="8" r:id="rId8"/>
    <sheet name="калькуляция (3)" sheetId="9" r:id="rId9"/>
    <sheet name="резерв отпускных (3)" sheetId="10" r:id="rId10"/>
    <sheet name=" (смета) (4)" sheetId="11" r:id="rId11"/>
    <sheet name="калькуляция (4)" sheetId="12" r:id="rId12"/>
    <sheet name="резерв отпускных (4)" sheetId="13" r:id="rId13"/>
    <sheet name=" (смета) (5)" sheetId="14" r:id="rId14"/>
    <sheet name="калькуляция (5)" sheetId="15" r:id="rId15"/>
    <sheet name="резерв отпускных (5)" sheetId="16" r:id="rId16"/>
    <sheet name=" (смета) (6)" sheetId="17" r:id="rId17"/>
    <sheet name="калькуляция (6)" sheetId="18" r:id="rId18"/>
    <sheet name="резерв отпускных (6)" sheetId="19" r:id="rId19"/>
    <sheet name="свод" sheetId="20" r:id="rId20"/>
    <sheet name="Лист2" sheetId="21" state="hidden" r:id="rId21"/>
    <sheet name="Лист12" sheetId="22" state="hidden" r:id="rId22"/>
    <sheet name="Лист1" sheetId="23" state="hidden" r:id="rId23"/>
    <sheet name="резерв СВОД" sheetId="24" r:id="rId24"/>
    <sheet name="Лист3" sheetId="25" r:id="rId25"/>
  </sheets>
  <definedNames>
    <definedName name="_xlnm.Print_Area" localSheetId="0">' (смета)'!$B$2:$K$84</definedName>
    <definedName name="_xlnm.Print_Area" localSheetId="3">' (смета) (2)'!$B$2:$L$81</definedName>
    <definedName name="_xlnm.Print_Area" localSheetId="7">' (смета) (3)'!$B$2:$K$82</definedName>
    <definedName name="_xlnm.Print_Area" localSheetId="10">' (смета) (4)'!$B$2:$K$80</definedName>
    <definedName name="_xlnm.Print_Area" localSheetId="13">' (смета) (5)'!$B$2:$K$80</definedName>
    <definedName name="_xlnm.Print_Area" localSheetId="16">' (смета) (6)'!$B$2:$K$80</definedName>
    <definedName name="_xlnm.Print_Area" localSheetId="2">'калькуляция'!$B$2:$G$51</definedName>
    <definedName name="_xlnm.Print_Area" localSheetId="4">'калькуляция (2)'!$B$2:$G$49</definedName>
    <definedName name="_xlnm.Print_Area" localSheetId="8">'калькуляция (3)'!$B$2:$G$51</definedName>
    <definedName name="_xlnm.Print_Area" localSheetId="11">'калькуляция (4)'!$B$2:$G$51</definedName>
    <definedName name="_xlnm.Print_Area" localSheetId="14">'калькуляция (5)'!$B$2:$G$51</definedName>
    <definedName name="_xlnm.Print_Area" localSheetId="17">'калькуляция (6)'!$B$2:$G$51</definedName>
    <definedName name="_xlnm.Print_Area" localSheetId="1">'резерв отпускных'!$A$1:$E$20</definedName>
    <definedName name="_xlnm.Print_Area" localSheetId="5">'резерв отпускных (2)'!$A$1:$E$20</definedName>
    <definedName name="_xlnm.Print_Area" localSheetId="9">'резерв отпускных (3)'!$A$1:$E$20</definedName>
    <definedName name="_xlnm.Print_Area" localSheetId="12">'резерв отпускных (4)'!$A$1:$E$21</definedName>
    <definedName name="_xlnm.Print_Area" localSheetId="15">'резерв отпускных (5)'!$A$1:$E$20</definedName>
    <definedName name="_xlnm.Print_Area" localSheetId="18">'резерв отпускных (6)'!$A$1:$E$21</definedName>
    <definedName name="_xlnm.Print_Area" localSheetId="23">'резерв СВОД'!$A$1:$J$22</definedName>
    <definedName name="_xlnm.Print_Area" localSheetId="19">'свод'!$B$2:$K$80</definedName>
  </definedNames>
  <calcPr fullCalcOnLoad="1" fullPrecision="0"/>
</workbook>
</file>

<file path=xl/comments10.xml><?xml version="1.0" encoding="utf-8"?>
<comments xmlns="http://schemas.openxmlformats.org/spreadsheetml/2006/main">
  <authors>
    <author>Евгения Викторовна Клейменова</author>
  </authors>
  <commentList>
    <comment ref="D10" authorId="0">
      <text>
        <r>
          <rPr>
            <b/>
            <sz val="9"/>
            <rFont val="Tahoma"/>
            <family val="2"/>
          </rPr>
          <t>проверить кол.месяцев</t>
        </r>
      </text>
    </comment>
    <comment ref="F10" authorId="0">
      <text>
        <r>
          <rPr>
            <b/>
            <sz val="9"/>
            <rFont val="Tahoma"/>
            <family val="2"/>
          </rPr>
          <t>Дней отпуска в год = 
дней отпуска/
12 мес*кол.мес.платных услуг</t>
        </r>
      </text>
    </comment>
    <comment ref="G10" authorId="0">
      <text>
        <r>
          <rPr>
            <b/>
            <sz val="9"/>
            <rFont val="Tahoma"/>
            <family val="2"/>
          </rPr>
          <t>дней отпуска в месяц=
дней отпуска в год/
кол.мес. пл.услуг</t>
        </r>
      </text>
    </comment>
  </commentList>
</comments>
</file>

<file path=xl/comments13.xml><?xml version="1.0" encoding="utf-8"?>
<comments xmlns="http://schemas.openxmlformats.org/spreadsheetml/2006/main">
  <authors>
    <author>Евгения Викторовна Клейменова</author>
  </authors>
  <commentList>
    <comment ref="D11" authorId="0">
      <text>
        <r>
          <rPr>
            <b/>
            <sz val="9"/>
            <rFont val="Tahoma"/>
            <family val="2"/>
          </rPr>
          <t>проверить кол.месяцев</t>
        </r>
      </text>
    </comment>
    <comment ref="F11" authorId="0">
      <text>
        <r>
          <rPr>
            <b/>
            <sz val="9"/>
            <rFont val="Tahoma"/>
            <family val="2"/>
          </rPr>
          <t>Дней отпуска в год = 
дней отпуска/
12 мес*кол.мес.платных услуг</t>
        </r>
      </text>
    </comment>
    <comment ref="G11" authorId="0">
      <text>
        <r>
          <rPr>
            <b/>
            <sz val="9"/>
            <rFont val="Tahoma"/>
            <family val="2"/>
          </rPr>
          <t>дней отпуска в месяц=
дней отпуска в год/
кол.мес. пл.услуг</t>
        </r>
      </text>
    </comment>
  </commentList>
</comments>
</file>

<file path=xl/comments16.xml><?xml version="1.0" encoding="utf-8"?>
<comments xmlns="http://schemas.openxmlformats.org/spreadsheetml/2006/main">
  <authors>
    <author>Евгения Викторовна Клейменова</author>
  </authors>
  <commentList>
    <comment ref="D10" authorId="0">
      <text>
        <r>
          <rPr>
            <b/>
            <sz val="9"/>
            <rFont val="Tahoma"/>
            <family val="2"/>
          </rPr>
          <t>проверить кол.месяцев</t>
        </r>
      </text>
    </comment>
    <comment ref="F10" authorId="0">
      <text>
        <r>
          <rPr>
            <b/>
            <sz val="9"/>
            <rFont val="Tahoma"/>
            <family val="2"/>
          </rPr>
          <t>Дней отпуска в год = 
дней отпуска/
12 мес*кол.мес.платных услуг</t>
        </r>
      </text>
    </comment>
    <comment ref="G10" authorId="0">
      <text>
        <r>
          <rPr>
            <b/>
            <sz val="9"/>
            <rFont val="Tahoma"/>
            <family val="2"/>
          </rPr>
          <t>дней отпуска в месяц=
дней отпуска в год/
кол.мес. пл.услуг</t>
        </r>
      </text>
    </comment>
  </commentList>
</comments>
</file>

<file path=xl/comments19.xml><?xml version="1.0" encoding="utf-8"?>
<comments xmlns="http://schemas.openxmlformats.org/spreadsheetml/2006/main">
  <authors>
    <author>Евгения Викторовна Клейменова</author>
  </authors>
  <commentList>
    <comment ref="D11" authorId="0">
      <text>
        <r>
          <rPr>
            <b/>
            <sz val="9"/>
            <rFont val="Tahoma"/>
            <family val="2"/>
          </rPr>
          <t>проверить кол.месяцев</t>
        </r>
      </text>
    </comment>
    <comment ref="F11" authorId="0">
      <text>
        <r>
          <rPr>
            <b/>
            <sz val="9"/>
            <rFont val="Tahoma"/>
            <family val="2"/>
          </rPr>
          <t>Дней отпуска в год = 
дней отпуска/
12 мес*кол.мес.платных услуг</t>
        </r>
      </text>
    </comment>
    <comment ref="G11" authorId="0">
      <text>
        <r>
          <rPr>
            <b/>
            <sz val="9"/>
            <rFont val="Tahoma"/>
            <family val="2"/>
          </rPr>
          <t>дней отпуска в месяц=
дней отпуска в год/
кол.мес. пл.услуг</t>
        </r>
      </text>
    </comment>
  </commentList>
</comments>
</file>

<file path=xl/comments2.xml><?xml version="1.0" encoding="utf-8"?>
<comments xmlns="http://schemas.openxmlformats.org/spreadsheetml/2006/main">
  <authors>
    <author>Евгения Викторовна Клейменова</author>
  </authors>
  <commentList>
    <comment ref="F10" authorId="0">
      <text>
        <r>
          <rPr>
            <b/>
            <sz val="9"/>
            <rFont val="Tahoma"/>
            <family val="2"/>
          </rPr>
          <t>Дней отпуска в год = 
дней отпуска/
12 мес*кол.мес.платных услуг</t>
        </r>
      </text>
    </comment>
    <comment ref="G10" authorId="0">
      <text>
        <r>
          <rPr>
            <b/>
            <sz val="9"/>
            <rFont val="Tahoma"/>
            <family val="2"/>
          </rPr>
          <t>дней отпуска в месяц=
дней отпуска в год/
кол.мес. пл.услуг</t>
        </r>
      </text>
    </comment>
    <comment ref="D10" authorId="0">
      <text>
        <r>
          <rPr>
            <b/>
            <sz val="9"/>
            <rFont val="Tahoma"/>
            <family val="2"/>
          </rPr>
          <t>проверить кол.месяцев</t>
        </r>
      </text>
    </comment>
  </commentList>
</comments>
</file>

<file path=xl/comments24.xml><?xml version="1.0" encoding="utf-8"?>
<comments xmlns="http://schemas.openxmlformats.org/spreadsheetml/2006/main">
  <authors>
    <author>Евгения Викторовна Клейменова</author>
  </authors>
  <commentList>
    <comment ref="D11" authorId="0">
      <text>
        <r>
          <rPr>
            <b/>
            <sz val="9"/>
            <rFont val="Tahoma"/>
            <family val="2"/>
          </rPr>
          <t>проверить кол.месяцев</t>
        </r>
      </text>
    </comment>
    <comment ref="F11" authorId="0">
      <text>
        <r>
          <rPr>
            <b/>
            <sz val="9"/>
            <rFont val="Tahoma"/>
            <family val="2"/>
          </rPr>
          <t>Дней отпуска в год = 
дней отпуска/
12 мес*кол.мес.платных услуг</t>
        </r>
      </text>
    </comment>
    <comment ref="G11" authorId="0">
      <text>
        <r>
          <rPr>
            <b/>
            <sz val="9"/>
            <rFont val="Tahoma"/>
            <family val="2"/>
          </rPr>
          <t>дней отпуска в месяц=
дней отпуска в год/
кол.мес. пл.услуг</t>
        </r>
      </text>
    </comment>
  </commentList>
</comments>
</file>

<file path=xl/comments6.xml><?xml version="1.0" encoding="utf-8"?>
<comments xmlns="http://schemas.openxmlformats.org/spreadsheetml/2006/main">
  <authors>
    <author>Евгения Викторовна Клейменова</author>
  </authors>
  <commentList>
    <comment ref="D10" authorId="0">
      <text>
        <r>
          <rPr>
            <b/>
            <sz val="9"/>
            <rFont val="Tahoma"/>
            <family val="2"/>
          </rPr>
          <t>проверить кол.месяцев</t>
        </r>
      </text>
    </comment>
    <comment ref="F10" authorId="0">
      <text>
        <r>
          <rPr>
            <b/>
            <sz val="9"/>
            <rFont val="Tahoma"/>
            <family val="2"/>
          </rPr>
          <t>Дней отпуска в год = 
дней отпуска/
12 мес*кол.мес.платных услуг</t>
        </r>
      </text>
    </comment>
    <comment ref="G10" authorId="0">
      <text>
        <r>
          <rPr>
            <b/>
            <sz val="9"/>
            <rFont val="Tahoma"/>
            <family val="2"/>
          </rPr>
          <t>дней отпуска в месяц=
дней отпуска в год/
кол.мес. пл.услуг</t>
        </r>
      </text>
    </comment>
  </commentList>
</comments>
</file>

<file path=xl/sharedStrings.xml><?xml version="1.0" encoding="utf-8"?>
<sst xmlns="http://schemas.openxmlformats.org/spreadsheetml/2006/main" count="1220" uniqueCount="233">
  <si>
    <t>3. Статья 220 "Приобретение услуг"</t>
  </si>
  <si>
    <t>руб.</t>
  </si>
  <si>
    <t>оплата отопления  и технологических нужд</t>
  </si>
  <si>
    <t>(</t>
  </si>
  <si>
    <t>гк. * 313,408 р. с НДС+</t>
  </si>
  <si>
    <t xml:space="preserve">тн. * 2,9854 руб.) </t>
  </si>
  <si>
    <t>услуга(</t>
  </si>
  <si>
    <t>гк. * 59,0472 р.  (тариф с НДС)</t>
  </si>
  <si>
    <t>оплата потребления электрической энергии</t>
  </si>
  <si>
    <t>оплата водоснабжения помещений</t>
  </si>
  <si>
    <t xml:space="preserve">   водоснабжения</t>
  </si>
  <si>
    <t xml:space="preserve">   водоотвведение</t>
  </si>
  <si>
    <t>оплата содержания помещений</t>
  </si>
  <si>
    <t xml:space="preserve">   спецавтохозяйство</t>
  </si>
  <si>
    <t>куб.м. * 12 мес. * 53,1 руб. * 1,18 ндс</t>
  </si>
  <si>
    <t>оплата текущего ремонта оборудования и инвентаря</t>
  </si>
  <si>
    <t>оплата текущего ремонта зданий и помещений</t>
  </si>
  <si>
    <t>5.  Статья 290  "Прочие расходы"</t>
  </si>
  <si>
    <t>приобретение инструмента и инвентаря</t>
  </si>
  <si>
    <t>приобретение запасных частей</t>
  </si>
  <si>
    <t>оплата продуктов питания</t>
  </si>
  <si>
    <t>оплата спец.топлива и ГСМ</t>
  </si>
  <si>
    <t>оплата расходных материалов и предметов снабжения.</t>
  </si>
  <si>
    <t xml:space="preserve">   медикаменты </t>
  </si>
  <si>
    <t xml:space="preserve">   канцелярские товары</t>
  </si>
  <si>
    <t xml:space="preserve">   посуда</t>
  </si>
  <si>
    <t xml:space="preserve">   моющие средства</t>
  </si>
  <si>
    <t>оплата текущих расходов на ремонт здания</t>
  </si>
  <si>
    <t xml:space="preserve">2. Статья 210 "Оплата труда и начисления на оплату труда" </t>
  </si>
  <si>
    <t xml:space="preserve">           Расчет суммы в год 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</si>
  <si>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</si>
  <si>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</si>
  <si>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</si>
  <si>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</si>
  <si>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>Подстатья 224  "Арендная плата за  пользованием имуществом"</t>
  </si>
  <si>
    <t>Подстатья 225   "Услуги по содержанию имущества"</t>
  </si>
  <si>
    <t xml:space="preserve">дополнительно на компьютерный класс </t>
  </si>
  <si>
    <t xml:space="preserve">  кол-во компьтеров * мощность</t>
  </si>
  <si>
    <t xml:space="preserve">* 0,976 руб *1,18* кол-во занятий </t>
  </si>
  <si>
    <t>калькул</t>
  </si>
  <si>
    <t>за 1 час</t>
  </si>
  <si>
    <t xml:space="preserve">       Количество учащихся :</t>
  </si>
  <si>
    <t>кол-во групп</t>
  </si>
  <si>
    <t>С т а т ь и   р а с х о д о в</t>
  </si>
  <si>
    <t>число занятий в неделю на 1 уч-ся в 1 группе</t>
  </si>
  <si>
    <t xml:space="preserve">число недель занятий </t>
  </si>
  <si>
    <t>плата за обучение в год на 1 уч-ся</t>
  </si>
  <si>
    <t>плата за обучение учащихся</t>
  </si>
  <si>
    <t>кв/час * 1,47692 руб. * 1,18</t>
  </si>
  <si>
    <t>чел. *  1 руб в мес</t>
  </si>
  <si>
    <t>оплата прочих текущих услуг:</t>
  </si>
  <si>
    <t>библиотечный фонд</t>
  </si>
  <si>
    <t xml:space="preserve">   строительные материалы</t>
  </si>
  <si>
    <t>наглядные пособия и экспонаты</t>
  </si>
  <si>
    <t>приобретение оборудования, техники, мебели</t>
  </si>
  <si>
    <t xml:space="preserve">      налог на прибыль</t>
  </si>
  <si>
    <t xml:space="preserve">      культурно-массовые мероприятия, реклама</t>
  </si>
  <si>
    <t>УТВЕРЖДАЮ:</t>
  </si>
  <si>
    <t>КАЛЬКУЛЯЦИЯ</t>
  </si>
  <si>
    <t>№</t>
  </si>
  <si>
    <t>Показатели</t>
  </si>
  <si>
    <t>Прямые затраты, в том числе:</t>
  </si>
  <si>
    <t>Стоимость          1 чел.часа, руб.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</si>
  <si>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</si>
  <si>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</si>
  <si>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</si>
  <si>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</si>
  <si>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</si>
  <si>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</si>
  <si>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</si>
  <si>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</si>
  <si>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</si>
  <si>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Оплата труда</t>
  </si>
  <si>
    <t>Начисления на оплату труда</t>
  </si>
  <si>
    <t>Резерв отпускных (включая ЕСН)</t>
  </si>
  <si>
    <t>Косвенные затраты, в том числе:</t>
  </si>
  <si>
    <t>2.1</t>
  </si>
  <si>
    <t>2.2</t>
  </si>
  <si>
    <t>2.3</t>
  </si>
  <si>
    <t>2.4</t>
  </si>
  <si>
    <t>2.5</t>
  </si>
  <si>
    <t>2.6</t>
  </si>
  <si>
    <t>2.1.1</t>
  </si>
  <si>
    <t>2.1.2</t>
  </si>
  <si>
    <t xml:space="preserve">   учителя</t>
  </si>
  <si>
    <t xml:space="preserve">   воспитателя</t>
  </si>
  <si>
    <t xml:space="preserve">   администратора</t>
  </si>
  <si>
    <t xml:space="preserve">   дежурной</t>
  </si>
  <si>
    <t xml:space="preserve">   уборщицы</t>
  </si>
  <si>
    <t xml:space="preserve">   дворника</t>
  </si>
  <si>
    <t>Оплата коммунальных услуг</t>
  </si>
  <si>
    <t>Итого затрат:</t>
  </si>
  <si>
    <t>Количество детей, чел.</t>
  </si>
  <si>
    <t>Сумма в год</t>
  </si>
  <si>
    <t>кол-во занятий в год</t>
  </si>
  <si>
    <t>2.7</t>
  </si>
  <si>
    <t>игрушки</t>
  </si>
  <si>
    <t xml:space="preserve">Канцелярские товары </t>
  </si>
  <si>
    <t>материал для пошива костюмов</t>
  </si>
  <si>
    <t xml:space="preserve">   заведующей</t>
  </si>
  <si>
    <t xml:space="preserve">   педагога </t>
  </si>
  <si>
    <t>оплата по срочным трудовым договорам</t>
  </si>
  <si>
    <t>Услуга на оплату труда по срочным трудовым договорам</t>
  </si>
  <si>
    <t>Расчет доходов и расходов дополнительных платных образовательных услуг</t>
  </si>
  <si>
    <t>Оплата бухгалтерских услуг по учету дополнительных  финансовых операций</t>
  </si>
  <si>
    <t>оплата услуг банка</t>
  </si>
  <si>
    <r>
      <t>Подстатья 223 "</t>
    </r>
    <r>
      <rPr>
        <b/>
        <sz val="12"/>
        <rFont val="Times New Roman"/>
        <family val="1"/>
      </rPr>
      <t xml:space="preserve">Коммунальные услуги" </t>
    </r>
  </si>
  <si>
    <r>
      <t>Подстатья 340 "</t>
    </r>
    <r>
      <rPr>
        <b/>
        <sz val="12"/>
        <rFont val="Times New Roman"/>
        <family val="1"/>
      </rPr>
      <t>Увеличение стоимости  материальных запасов"</t>
    </r>
  </si>
  <si>
    <r>
      <t>Подстатья 310 "</t>
    </r>
    <r>
      <rPr>
        <b/>
        <sz val="12"/>
        <rFont val="Times New Roman"/>
        <family val="1"/>
      </rPr>
      <t>Увеличение стоимости основных средств"</t>
    </r>
  </si>
  <si>
    <t>2.8</t>
  </si>
  <si>
    <t>№ строки</t>
  </si>
  <si>
    <t>Показатель</t>
  </si>
  <si>
    <t>Значение</t>
  </si>
  <si>
    <t>Предполагаемая сумма отпускных за год, руб.</t>
  </si>
  <si>
    <t>Предполагаемая сумма расходов на оплату труда за год (без учета отпускных), руб.</t>
  </si>
  <si>
    <t>Определяется ежемесячно</t>
  </si>
  <si>
    <t>Страховые взносы с предполагаемой суммы отпускных за год (стр.1 х 30,2%), руб.</t>
  </si>
  <si>
    <t>Неиспользованный резерв отпусков</t>
  </si>
  <si>
    <t>Предельная сумма отчислений в резерв (предполагаемая сумма отпускных за год с учетом страх.взносов) (стр.1 + стр.2), руб.</t>
  </si>
  <si>
    <t>Страховые взносы с предполагаемой суммы расходов на оплату труда за год (стр.5 х 30,2%), руб.</t>
  </si>
  <si>
    <t>Предполагаемая годовая сумма расходов на оплату труда с учетом страх.взносов (стр.5 + стр.6)</t>
  </si>
  <si>
    <t>Процент ежемесячных отчислений в резерв ((стр.4 / стр.7) х 100)</t>
  </si>
  <si>
    <t>Сумма ежемесячных отчислений в резерв (сумма фактических расходов на оплату труда за месяц + страх.взносы) х стр.8)</t>
  </si>
  <si>
    <t>стоимость</t>
  </si>
  <si>
    <r>
      <t xml:space="preserve">                               </t>
    </r>
    <r>
      <rPr>
        <i/>
        <sz val="12"/>
        <rFont val="Times New Roman"/>
        <family val="1"/>
      </rPr>
      <t xml:space="preserve"> Подстатья 211</t>
    </r>
    <r>
      <rPr>
        <sz val="12"/>
        <rFont val="Times New Roman"/>
        <family val="1"/>
      </rPr>
      <t xml:space="preserve"> "Заработная плата"</t>
    </r>
  </si>
  <si>
    <r>
      <t xml:space="preserve">                               </t>
    </r>
    <r>
      <rPr>
        <b/>
        <i/>
        <sz val="12"/>
        <rFont val="Times New Roman"/>
        <family val="1"/>
      </rPr>
      <t xml:space="preserve"> Подстатья 211</t>
    </r>
    <r>
      <rPr>
        <b/>
        <sz val="12"/>
        <rFont val="Times New Roman"/>
        <family val="1"/>
      </rPr>
      <t xml:space="preserve"> "Заработная плата"</t>
    </r>
  </si>
  <si>
    <r>
      <t>Подстатья 221</t>
    </r>
    <r>
      <rPr>
        <sz val="12"/>
        <rFont val="Times New Roman"/>
        <family val="1"/>
      </rPr>
      <t xml:space="preserve"> "Услуги связи"</t>
    </r>
  </si>
  <si>
    <r>
      <t>Подстатья 222</t>
    </r>
    <r>
      <rPr>
        <sz val="12"/>
        <rFont val="Times New Roman"/>
        <family val="1"/>
      </rPr>
      <t xml:space="preserve"> "Транспортные услуги"</t>
    </r>
  </si>
  <si>
    <r>
      <t>Подстатья 226  "</t>
    </r>
    <r>
      <rPr>
        <b/>
        <sz val="12"/>
        <rFont val="Times New Roman"/>
        <family val="1"/>
      </rPr>
      <t>Прочие услуги"</t>
    </r>
  </si>
  <si>
    <r>
      <t xml:space="preserve"> </t>
    </r>
    <r>
      <rPr>
        <i/>
        <sz val="12"/>
        <rFont val="Times New Roman"/>
        <family val="1"/>
      </rPr>
      <t xml:space="preserve"> Подстатья 212</t>
    </r>
    <r>
      <rPr>
        <sz val="12"/>
        <rFont val="Times New Roman"/>
        <family val="1"/>
      </rPr>
      <t xml:space="preserve"> "Прочие выплаты"</t>
    </r>
  </si>
  <si>
    <t>договорная цена за 1 занятие, руб</t>
  </si>
  <si>
    <t>6.  Статья 300 "Поступление нефинансовых активов"</t>
  </si>
  <si>
    <r>
      <rPr>
        <b/>
        <i/>
        <sz val="12"/>
        <rFont val="Times New Roman"/>
        <family val="1"/>
      </rPr>
      <t>Подстатья 211</t>
    </r>
    <r>
      <rPr>
        <b/>
        <sz val="12"/>
        <rFont val="Times New Roman"/>
        <family val="1"/>
      </rPr>
      <t xml:space="preserve"> "Заработная плата"</t>
    </r>
  </si>
  <si>
    <r>
      <rPr>
        <b/>
        <i/>
        <sz val="12"/>
        <rFont val="Times New Roman"/>
        <family val="1"/>
      </rPr>
      <t>Подстатья 213</t>
    </r>
    <r>
      <rPr>
        <b/>
        <sz val="12"/>
        <rFont val="Times New Roman"/>
        <family val="1"/>
      </rPr>
      <t xml:space="preserve"> "Начисления на оплату труда"</t>
    </r>
  </si>
  <si>
    <t xml:space="preserve">дополнительных платных образовательных услуг </t>
  </si>
  <si>
    <t>Оплата услуг банка</t>
  </si>
  <si>
    <t>Посуда</t>
  </si>
  <si>
    <t>Приобретение оборудования, техники, мебели</t>
  </si>
  <si>
    <t>Материал для пошива костюмов</t>
  </si>
  <si>
    <t>Количество занятий в год</t>
  </si>
  <si>
    <t>Стоимость за 1 занятие, руб.</t>
  </si>
  <si>
    <t xml:space="preserve">стоимость </t>
  </si>
  <si>
    <t>Коэффициент 1 чел.</t>
  </si>
  <si>
    <t>цена за 1 занятие</t>
  </si>
  <si>
    <t>Специалист ЭО</t>
  </si>
  <si>
    <t>% из положения</t>
  </si>
  <si>
    <t>в год</t>
  </si>
  <si>
    <t>в мес.</t>
  </si>
  <si>
    <t>Проверка</t>
  </si>
  <si>
    <t xml:space="preserve"> </t>
  </si>
  <si>
    <t>ведение учёта вспомогательных финансовых операций по платным услугам</t>
  </si>
  <si>
    <t>Исп. Гарипова А.Р.</t>
  </si>
  <si>
    <t>Расчет  резерва на оплату отпусков</t>
  </si>
  <si>
    <t xml:space="preserve">Муниципальное бюджетное образовательное учреждение  дополнительного образования        </t>
  </si>
  <si>
    <t>"Центр дополнительного образования детей им.В.Волошиной"</t>
  </si>
  <si>
    <t>Учреждение</t>
  </si>
  <si>
    <t xml:space="preserve">Директор  МБОУ ДО "ЦДОД им.В.Волошиной"                                                                </t>
  </si>
  <si>
    <t xml:space="preserve"> И.П. Чередова</t>
  </si>
  <si>
    <t>А.Р. Гарипова</t>
  </si>
  <si>
    <t>9% директор</t>
  </si>
  <si>
    <t>ст-ть в месяц</t>
  </si>
  <si>
    <t>1 занятие</t>
  </si>
  <si>
    <t xml:space="preserve">часы педагогов </t>
  </si>
  <si>
    <t>Анникова С.А.</t>
  </si>
  <si>
    <t>Стукалова Т.П.</t>
  </si>
  <si>
    <t>Дунаева Т.И.</t>
  </si>
  <si>
    <t>Иванова И.М.</t>
  </si>
  <si>
    <t>Дунаева А.А.</t>
  </si>
  <si>
    <t>Мерейник Е.Г.</t>
  </si>
  <si>
    <t>Тарасова И.Н.</t>
  </si>
  <si>
    <t>Аманаджиева Г.А.</t>
  </si>
  <si>
    <t>ИТОГО: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</si>
  <si>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</si>
  <si>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</si>
  <si>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</si>
  <si>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</si>
  <si>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</si>
  <si>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</si>
  <si>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</si>
  <si>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</si>
  <si>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</si>
  <si>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фактический доход с платных услуг</t>
  </si>
  <si>
    <t>фактическая стоимость часа для ЗП педагогов (без р/к)</t>
  </si>
  <si>
    <t>Тренёва Е.В.</t>
  </si>
  <si>
    <t>педагоги</t>
  </si>
  <si>
    <t>директор</t>
  </si>
  <si>
    <t>общая сумма на зп педагоги</t>
  </si>
  <si>
    <t xml:space="preserve">часы в месяц </t>
  </si>
  <si>
    <t>проверка</t>
  </si>
  <si>
    <t>51% педагоги</t>
  </si>
  <si>
    <t>по программе  "Развитие фонематического слуха и формирование звукопроизношения"  индивидуальное занятие</t>
  </si>
  <si>
    <t>8часов на 4 недели 32 часа</t>
  </si>
  <si>
    <t>Наименование:</t>
  </si>
  <si>
    <t>По программе:</t>
  </si>
  <si>
    <t xml:space="preserve">Весёлый карандаш </t>
  </si>
  <si>
    <t>договорная цена месяц, руб</t>
  </si>
  <si>
    <t>число занятий в месяц</t>
  </si>
  <si>
    <t xml:space="preserve">По программе:  Весёлый карандаш </t>
  </si>
  <si>
    <t>Групповые занятия 4-5 лет</t>
  </si>
  <si>
    <t>"Весёлый карандаш 6-8 лет"</t>
  </si>
  <si>
    <t>"Педагог-психолог"</t>
  </si>
  <si>
    <t>Я и мои друзья (индивидуальное занятие)</t>
  </si>
  <si>
    <t xml:space="preserve">число занятий в неделю на 1 уч-ся </t>
  </si>
  <si>
    <t>Наименование: "Педагог-психолог"</t>
  </si>
  <si>
    <t>"Развитие речи"  (индивидуальное занятие)</t>
  </si>
  <si>
    <t xml:space="preserve">Развитие речи </t>
  </si>
  <si>
    <t>"Логопед"</t>
  </si>
  <si>
    <t>Развитие фонематического слуха и формирование звукопроизношения (индивидуальное занятие)</t>
  </si>
  <si>
    <t>число занятий в неделю на 1 уч-ся</t>
  </si>
  <si>
    <t>"Английский для малышей 6-8 лет"</t>
  </si>
  <si>
    <t xml:space="preserve">Английский для малышей </t>
  </si>
  <si>
    <t>По программе: Английский для малышей</t>
  </si>
  <si>
    <t>СВОД</t>
  </si>
  <si>
    <t xml:space="preserve">                 на  2022-2023 учебный год  (сентябрь -май)</t>
  </si>
  <si>
    <t>А.Р. Саттарова</t>
  </si>
  <si>
    <t>"Групповые занятия 3-5 лет"</t>
  </si>
  <si>
    <t xml:space="preserve">Смету составил специалист ЭО  </t>
  </si>
  <si>
    <t xml:space="preserve">составил специалист ЭО  </t>
  </si>
  <si>
    <t>составил специалист ЭО  Саттарова А.Р.</t>
  </si>
  <si>
    <t>свод</t>
  </si>
  <si>
    <t xml:space="preserve">                 на  2023-2024 учебный год  (сентябрь -май)</t>
  </si>
  <si>
    <t>"01" сентября 2023 г</t>
  </si>
  <si>
    <t>Набор из 9 программ</t>
  </si>
  <si>
    <t>сумма без р/к на сентябрь 2023</t>
  </si>
  <si>
    <t>сумма без р/к на октябрь 2023</t>
  </si>
  <si>
    <t>сумма без р/к на ноябрь 2023</t>
  </si>
  <si>
    <t>сумма без р/к на декабрь 2023</t>
  </si>
  <si>
    <t>сумма без р/к на январь 2024</t>
  </si>
  <si>
    <t>сумма без р/к на февраль 2024</t>
  </si>
  <si>
    <t>сумма без р/к на март 2024</t>
  </si>
  <si>
    <t>сумма без р/к на апрель 2024</t>
  </si>
  <si>
    <t>сумма без р/к на май 2024</t>
  </si>
  <si>
    <t xml:space="preserve">                 на  2023-2024 учебный год  (сентябрь -июнь)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</si>
</sst>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%"/>
    <numFmt numFmtId="178" formatCode="0.00000"/>
    <numFmt numFmtId="179" formatCode="0.0000000"/>
    <numFmt numFmtId="180" formatCode="0.00000000"/>
    <numFmt numFmtId="181" formatCode="0.000000"/>
    <numFmt numFmtId="182" formatCode="0.0000000000"/>
    <numFmt numFmtId="183" formatCode="0.00000000000"/>
    <numFmt numFmtId="184" formatCode="0.000000000000"/>
    <numFmt numFmtId="185" formatCode="0.000000000"/>
    <numFmt numFmtId="186" formatCode="#,##0_р_."/>
    <numFmt numFmtId="187" formatCode="#,##0.0_р_."/>
    <numFmt numFmtId="188" formatCode="#,##0.00_р_."/>
    <numFmt numFmtId="189" formatCode="#,##0.000_р_."/>
    <numFmt numFmtId="190" formatCode="#,##0.0000_р_."/>
    <numFmt numFmtId="191" formatCode="#,##0.00000_р_."/>
    <numFmt numFmtId="192" formatCode="#,##0.000000_р_."/>
    <numFmt numFmtId="193" formatCode="0.000%"/>
    <numFmt numFmtId="194" formatCode="_-* #,##0.0_р_._-;\-* #,##0.0_р_._-;_-* &quot;-&quot;_р_._-;_-@_-"/>
    <numFmt numFmtId="195" formatCode="_-* #,##0.00_р_._-;\-* #,##0.00_р_._-;_-* &quot;-&quot;_р_._-;_-@_-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"/>
    <numFmt numFmtId="203" formatCode="#,##0.00_ ;\-#,##0.00\ 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5"/>
      <name val="Times New Roman"/>
      <family val="1"/>
    </font>
    <font>
      <sz val="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3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Times New Roman"/>
      <family val="1"/>
    </font>
    <font>
      <b/>
      <sz val="12"/>
      <color indexed="6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10"/>
      <name val="Times New Roman"/>
      <family val="1"/>
    </font>
    <font>
      <sz val="11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4" fontId="3" fillId="0" borderId="1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2" fontId="3" fillId="0" borderId="2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174" fontId="3" fillId="0" borderId="23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2" fontId="3" fillId="0" borderId="27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7" fillId="0" borderId="12" xfId="0" applyFont="1" applyFill="1" applyBorder="1" applyAlignment="1">
      <alignment/>
    </xf>
    <xf numFmtId="174" fontId="3" fillId="0" borderId="16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77" fontId="3" fillId="0" borderId="22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15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8" xfId="0" applyFont="1" applyFill="1" applyBorder="1" applyAlignment="1">
      <alignment horizontal="right"/>
    </xf>
    <xf numFmtId="0" fontId="17" fillId="0" borderId="29" xfId="0" applyFont="1" applyFill="1" applyBorder="1" applyAlignment="1">
      <alignment/>
    </xf>
    <xf numFmtId="177" fontId="17" fillId="0" borderId="29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49" fontId="3" fillId="0" borderId="29" xfId="0" applyNumberFormat="1" applyFont="1" applyFill="1" applyBorder="1" applyAlignment="1">
      <alignment/>
    </xf>
    <xf numFmtId="174" fontId="13" fillId="0" borderId="16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/>
    </xf>
    <xf numFmtId="174" fontId="13" fillId="0" borderId="19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174" fontId="3" fillId="0" borderId="3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4" fontId="3" fillId="0" borderId="31" xfId="0" applyNumberFormat="1" applyFont="1" applyFill="1" applyBorder="1" applyAlignment="1">
      <alignment horizontal="right"/>
    </xf>
    <xf numFmtId="0" fontId="17" fillId="0" borderId="22" xfId="0" applyFont="1" applyFill="1" applyBorder="1" applyAlignment="1">
      <alignment/>
    </xf>
    <xf numFmtId="174" fontId="3" fillId="0" borderId="32" xfId="0" applyNumberFormat="1" applyFont="1" applyFill="1" applyBorder="1" applyAlignment="1">
      <alignment horizontal="right"/>
    </xf>
    <xf numFmtId="9" fontId="3" fillId="0" borderId="22" xfId="0" applyNumberFormat="1" applyFont="1" applyFill="1" applyBorder="1" applyAlignment="1">
      <alignment/>
    </xf>
    <xf numFmtId="0" fontId="17" fillId="0" borderId="18" xfId="0" applyFont="1" applyFill="1" applyBorder="1" applyAlignment="1">
      <alignment/>
    </xf>
    <xf numFmtId="9" fontId="17" fillId="0" borderId="18" xfId="0" applyNumberFormat="1" applyFont="1" applyFill="1" applyBorder="1" applyAlignment="1">
      <alignment/>
    </xf>
    <xf numFmtId="174" fontId="3" fillId="0" borderId="27" xfId="0" applyNumberFormat="1" applyFont="1" applyFill="1" applyBorder="1" applyAlignment="1">
      <alignment horizontal="right"/>
    </xf>
    <xf numFmtId="174" fontId="3" fillId="0" borderId="33" xfId="0" applyNumberFormat="1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174" fontId="3" fillId="0" borderId="34" xfId="0" applyNumberFormat="1" applyFont="1" applyFill="1" applyBorder="1" applyAlignment="1">
      <alignment horizontal="right"/>
    </xf>
    <xf numFmtId="2" fontId="16" fillId="0" borderId="19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2" fontId="3" fillId="0" borderId="17" xfId="0" applyNumberFormat="1" applyFont="1" applyFill="1" applyBorder="1" applyAlignment="1">
      <alignment horizontal="right"/>
    </xf>
    <xf numFmtId="174" fontId="3" fillId="0" borderId="17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174" fontId="13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174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/>
    </xf>
    <xf numFmtId="1" fontId="17" fillId="0" borderId="0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17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72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12" xfId="0" applyFont="1" applyFill="1" applyBorder="1" applyAlignment="1">
      <alignment horizontal="left"/>
    </xf>
    <xf numFmtId="0" fontId="71" fillId="0" borderId="18" xfId="0" applyFont="1" applyFill="1" applyBorder="1" applyAlignment="1">
      <alignment horizontal="left"/>
    </xf>
    <xf numFmtId="177" fontId="3" fillId="0" borderId="26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3" fontId="5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0" xfId="6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33" xfId="61" applyNumberFormat="1" applyFont="1" applyFill="1" applyBorder="1" applyAlignment="1">
      <alignment horizontal="center" vertical="center"/>
    </xf>
    <xf numFmtId="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71" fillId="0" borderId="16" xfId="0" applyNumberFormat="1" applyFont="1" applyFill="1" applyBorder="1" applyAlignment="1">
      <alignment horizontal="center"/>
    </xf>
    <xf numFmtId="3" fontId="71" fillId="0" borderId="17" xfId="0" applyNumberFormat="1" applyFont="1" applyFill="1" applyBorder="1" applyAlignment="1">
      <alignment horizontal="center"/>
    </xf>
    <xf numFmtId="3" fontId="18" fillId="0" borderId="16" xfId="0" applyNumberFormat="1" applyFont="1" applyFill="1" applyBorder="1" applyAlignment="1">
      <alignment horizontal="center"/>
    </xf>
    <xf numFmtId="196" fontId="3" fillId="0" borderId="38" xfId="0" applyNumberFormat="1" applyFont="1" applyFill="1" applyBorder="1" applyAlignment="1">
      <alignment horizontal="center"/>
    </xf>
    <xf numFmtId="196" fontId="3" fillId="0" borderId="16" xfId="0" applyNumberFormat="1" applyFont="1" applyFill="1" applyBorder="1" applyAlignment="1">
      <alignment horizontal="center"/>
    </xf>
    <xf numFmtId="196" fontId="17" fillId="0" borderId="12" xfId="0" applyNumberFormat="1" applyFont="1" applyFill="1" applyBorder="1" applyAlignment="1">
      <alignment horizontal="center"/>
    </xf>
    <xf numFmtId="196" fontId="17" fillId="0" borderId="16" xfId="0" applyNumberFormat="1" applyFont="1" applyFill="1" applyBorder="1" applyAlignment="1">
      <alignment horizontal="center"/>
    </xf>
    <xf numFmtId="196" fontId="17" fillId="0" borderId="10" xfId="0" applyNumberFormat="1" applyFont="1" applyFill="1" applyBorder="1" applyAlignment="1">
      <alignment horizontal="center"/>
    </xf>
    <xf numFmtId="196" fontId="17" fillId="0" borderId="0" xfId="0" applyNumberFormat="1" applyFont="1" applyFill="1" applyAlignment="1">
      <alignment horizontal="center"/>
    </xf>
    <xf numFmtId="196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7" fillId="0" borderId="3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8" fillId="0" borderId="33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3" fontId="72" fillId="0" borderId="14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2" fontId="73" fillId="0" borderId="0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2" fontId="73" fillId="0" borderId="50" xfId="0" applyNumberFormat="1" applyFont="1" applyFill="1" applyBorder="1" applyAlignment="1">
      <alignment horizontal="center"/>
    </xf>
    <xf numFmtId="0" fontId="74" fillId="0" borderId="5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" fontId="73" fillId="0" borderId="48" xfId="0" applyNumberFormat="1" applyFont="1" applyFill="1" applyBorder="1" applyAlignment="1">
      <alignment/>
    </xf>
    <xf numFmtId="9" fontId="3" fillId="0" borderId="51" xfId="0" applyNumberFormat="1" applyFont="1" applyFill="1" applyBorder="1" applyAlignment="1">
      <alignment horizontal="left"/>
    </xf>
    <xf numFmtId="3" fontId="7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3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4" fontId="24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2" fontId="3" fillId="0" borderId="14" xfId="61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3" fillId="0" borderId="16" xfId="0" applyFont="1" applyFill="1" applyBorder="1" applyAlignment="1">
      <alignment vertical="center" wrapText="1"/>
    </xf>
    <xf numFmtId="10" fontId="3" fillId="0" borderId="1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6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3" fillId="0" borderId="39" xfId="53" applyFont="1" applyFill="1" applyBorder="1">
      <alignment/>
      <protection/>
    </xf>
    <xf numFmtId="197" fontId="3" fillId="0" borderId="0" xfId="0" applyNumberFormat="1" applyFont="1" applyFill="1" applyAlignment="1">
      <alignment/>
    </xf>
    <xf numFmtId="0" fontId="0" fillId="0" borderId="38" xfId="53" applyBorder="1">
      <alignment/>
      <protection/>
    </xf>
    <xf numFmtId="0" fontId="0" fillId="0" borderId="19" xfId="53" applyBorder="1">
      <alignment/>
      <protection/>
    </xf>
    <xf numFmtId="0" fontId="0" fillId="0" borderId="16" xfId="53" applyBorder="1" applyAlignment="1">
      <alignment wrapText="1"/>
      <protection/>
    </xf>
    <xf numFmtId="0" fontId="51" fillId="0" borderId="16" xfId="53" applyFont="1" applyBorder="1" applyAlignment="1">
      <alignment wrapText="1"/>
      <protection/>
    </xf>
    <xf numFmtId="0" fontId="51" fillId="0" borderId="16" xfId="53" applyFont="1" applyBorder="1" applyAlignment="1">
      <alignment wrapText="1"/>
      <protection/>
    </xf>
    <xf numFmtId="0" fontId="51" fillId="0" borderId="16" xfId="53" applyFont="1" applyFill="1" applyBorder="1" applyAlignment="1">
      <alignment wrapText="1"/>
      <protection/>
    </xf>
    <xf numFmtId="2" fontId="51" fillId="0" borderId="16" xfId="53" applyNumberFormat="1" applyFont="1" applyBorder="1" applyAlignment="1">
      <alignment horizontal="right" vertical="center"/>
      <protection/>
    </xf>
    <xf numFmtId="174" fontId="68" fillId="0" borderId="16" xfId="53" applyNumberFormat="1" applyFont="1" applyBorder="1">
      <alignment/>
      <protection/>
    </xf>
    <xf numFmtId="0" fontId="61" fillId="0" borderId="38" xfId="53" applyFont="1" applyBorder="1">
      <alignment/>
      <protection/>
    </xf>
    <xf numFmtId="0" fontId="61" fillId="0" borderId="19" xfId="53" applyFont="1" applyBorder="1">
      <alignment/>
      <protection/>
    </xf>
    <xf numFmtId="2" fontId="61" fillId="0" borderId="16" xfId="53" applyNumberFormat="1" applyFont="1" applyBorder="1" applyAlignment="1">
      <alignment horizontal="right"/>
      <protection/>
    </xf>
    <xf numFmtId="0" fontId="61" fillId="0" borderId="0" xfId="53" applyFont="1" applyBorder="1">
      <alignment/>
      <protection/>
    </xf>
    <xf numFmtId="2" fontId="61" fillId="0" borderId="0" xfId="53" applyNumberFormat="1" applyFont="1" applyBorder="1" applyAlignment="1">
      <alignment horizontal="right"/>
      <protection/>
    </xf>
    <xf numFmtId="0" fontId="0" fillId="0" borderId="0" xfId="53">
      <alignment/>
      <protection/>
    </xf>
    <xf numFmtId="0" fontId="51" fillId="0" borderId="0" xfId="53" applyFont="1">
      <alignment/>
      <protection/>
    </xf>
    <xf numFmtId="2" fontId="0" fillId="0" borderId="0" xfId="53" applyNumberFormat="1">
      <alignment/>
      <protection/>
    </xf>
    <xf numFmtId="0" fontId="0" fillId="0" borderId="0" xfId="53" applyFill="1">
      <alignment/>
      <protection/>
    </xf>
    <xf numFmtId="0" fontId="0" fillId="0" borderId="12" xfId="53" applyBorder="1">
      <alignment/>
      <protection/>
    </xf>
    <xf numFmtId="0" fontId="0" fillId="0" borderId="13" xfId="53" applyBorder="1">
      <alignment/>
      <protection/>
    </xf>
    <xf numFmtId="0" fontId="0" fillId="0" borderId="16" xfId="53" applyBorder="1">
      <alignment/>
      <protection/>
    </xf>
    <xf numFmtId="0" fontId="51" fillId="0" borderId="16" xfId="53" applyFont="1" applyBorder="1">
      <alignment/>
      <protection/>
    </xf>
    <xf numFmtId="0" fontId="0" fillId="0" borderId="16" xfId="53" applyFill="1" applyBorder="1">
      <alignment/>
      <protection/>
    </xf>
    <xf numFmtId="2" fontId="0" fillId="0" borderId="16" xfId="53" applyNumberFormat="1" applyBorder="1">
      <alignment/>
      <protection/>
    </xf>
    <xf numFmtId="2" fontId="0" fillId="0" borderId="16" xfId="53" applyNumberFormat="1" applyFill="1" applyBorder="1">
      <alignment/>
      <protection/>
    </xf>
    <xf numFmtId="2" fontId="51" fillId="0" borderId="16" xfId="53" applyNumberFormat="1" applyFont="1" applyFill="1" applyBorder="1">
      <alignment/>
      <protection/>
    </xf>
    <xf numFmtId="2" fontId="51" fillId="0" borderId="16" xfId="53" applyNumberFormat="1" applyFont="1" applyBorder="1">
      <alignment/>
      <protection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97" fontId="5" fillId="0" borderId="16" xfId="0" applyNumberFormat="1" applyFont="1" applyFill="1" applyBorder="1" applyAlignment="1">
      <alignment horizontal="center"/>
    </xf>
    <xf numFmtId="4" fontId="61" fillId="0" borderId="16" xfId="53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0" fillId="0" borderId="16" xfId="53" applyFont="1" applyBorder="1" applyAlignment="1">
      <alignment wrapText="1"/>
      <protection/>
    </xf>
    <xf numFmtId="4" fontId="0" fillId="0" borderId="16" xfId="53" applyNumberFormat="1" applyBorder="1">
      <alignment/>
      <protection/>
    </xf>
    <xf numFmtId="175" fontId="0" fillId="0" borderId="16" xfId="53" applyNumberFormat="1" applyFont="1" applyFill="1" applyBorder="1">
      <alignment/>
      <protection/>
    </xf>
    <xf numFmtId="0" fontId="0" fillId="33" borderId="16" xfId="0" applyFill="1" applyBorder="1" applyAlignment="1">
      <alignment/>
    </xf>
    <xf numFmtId="4" fontId="0" fillId="33" borderId="16" xfId="0" applyNumberFormat="1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2" fontId="0" fillId="33" borderId="16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2" fontId="76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3" fontId="2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175" fontId="3" fillId="0" borderId="0" xfId="0" applyNumberFormat="1" applyFont="1" applyFill="1" applyAlignment="1">
      <alignment horizontal="right"/>
    </xf>
    <xf numFmtId="173" fontId="3" fillId="0" borderId="0" xfId="61" applyFont="1" applyFill="1" applyAlignment="1">
      <alignment horizontal="center"/>
    </xf>
    <xf numFmtId="20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173" fontId="3" fillId="0" borderId="0" xfId="61" applyFont="1" applyFill="1" applyAlignment="1">
      <alignment/>
    </xf>
    <xf numFmtId="2" fontId="3" fillId="0" borderId="16" xfId="61" applyNumberFormat="1" applyFont="1" applyFill="1" applyBorder="1" applyAlignment="1">
      <alignment horizontal="center" vertical="center"/>
    </xf>
    <xf numFmtId="2" fontId="3" fillId="0" borderId="16" xfId="61" applyNumberFormat="1" applyFont="1" applyFill="1" applyBorder="1" applyAlignment="1">
      <alignment horizontal="center"/>
    </xf>
    <xf numFmtId="173" fontId="3" fillId="0" borderId="16" xfId="6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0" fontId="3" fillId="0" borderId="16" xfId="58" applyNumberFormat="1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center"/>
    </xf>
    <xf numFmtId="173" fontId="3" fillId="0" borderId="0" xfId="61" applyFont="1" applyFill="1" applyAlignment="1">
      <alignment horizontal="right"/>
    </xf>
    <xf numFmtId="173" fontId="12" fillId="0" borderId="0" xfId="6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10" fontId="3" fillId="0" borderId="16" xfId="58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0" fillId="0" borderId="38" xfId="53" applyBorder="1" applyAlignment="1">
      <alignment wrapText="1"/>
      <protection/>
    </xf>
    <xf numFmtId="0" fontId="0" fillId="0" borderId="39" xfId="53" applyBorder="1" applyAlignment="1">
      <alignment wrapText="1"/>
      <protection/>
    </xf>
    <xf numFmtId="0" fontId="0" fillId="0" borderId="38" xfId="53" applyFont="1" applyBorder="1" applyAlignment="1">
      <alignment horizontal="left" wrapText="1"/>
      <protection/>
    </xf>
    <xf numFmtId="0" fontId="0" fillId="0" borderId="19" xfId="53" applyFont="1" applyBorder="1" applyAlignment="1">
      <alignment horizontal="left" wrapText="1"/>
      <protection/>
    </xf>
    <xf numFmtId="0" fontId="0" fillId="0" borderId="16" xfId="53" applyFont="1" applyBorder="1" applyAlignment="1">
      <alignment wrapText="1"/>
      <protection/>
    </xf>
    <xf numFmtId="0" fontId="0" fillId="0" borderId="16" xfId="53" applyBorder="1" applyAlignment="1">
      <alignment wrapText="1"/>
      <protection/>
    </xf>
    <xf numFmtId="0" fontId="0" fillId="0" borderId="19" xfId="53" applyBorder="1" applyAlignment="1">
      <alignment horizontal="left" wrapText="1"/>
      <protection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" fontId="0" fillId="34" borderId="16" xfId="53" applyNumberFormat="1" applyFill="1" applyBorder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showZeros="0" tabSelected="1" view="pageBreakPreview" zoomScale="90" zoomScaleNormal="80" zoomScaleSheetLayoutView="90" zoomScalePageLayoutView="0" workbookViewId="0" topLeftCell="A1">
      <selection activeCell="E17" sqref="E17"/>
    </sheetView>
  </sheetViews>
  <sheetFormatPr defaultColWidth="9.00390625" defaultRowHeight="12.75" customHeight="1"/>
  <cols>
    <col min="1" max="1" width="0.74609375" style="88" customWidth="1"/>
    <col min="2" max="2" width="19.75390625" style="88" customWidth="1"/>
    <col min="3" max="3" width="11.00390625" style="88" customWidth="1"/>
    <col min="4" max="4" width="25.875" style="88" customWidth="1"/>
    <col min="5" max="5" width="11.375" style="88" customWidth="1"/>
    <col min="6" max="6" width="13.875" style="88" customWidth="1"/>
    <col min="7" max="7" width="13.625" style="91" customWidth="1"/>
    <col min="8" max="8" width="12.25390625" style="91" customWidth="1"/>
    <col min="9" max="9" width="12.625" style="91" customWidth="1"/>
    <col min="10" max="10" width="11.625" style="91" customWidth="1"/>
    <col min="11" max="11" width="12.375" style="91" customWidth="1"/>
    <col min="12" max="12" width="11.00390625" style="88" hidden="1" customWidth="1"/>
    <col min="13" max="13" width="11.00390625" style="8" hidden="1" customWidth="1"/>
    <col min="14" max="14" width="22.625" style="175" customWidth="1"/>
    <col min="15" max="15" width="10.125" style="6" bestFit="1" customWidth="1"/>
    <col min="16" max="16" width="16.75390625" style="88" customWidth="1"/>
    <col min="17" max="17" width="10.875" style="88" customWidth="1"/>
    <col min="18" max="18" width="11.625" style="88" customWidth="1"/>
    <col min="19" max="19" width="12.00390625" style="88" customWidth="1"/>
    <col min="20" max="20" width="17.375" style="88" customWidth="1"/>
    <col min="21" max="16384" width="9.125" style="88" customWidth="1"/>
  </cols>
  <sheetData>
    <row r="1" spans="7:14" s="6" customFormat="1" ht="12.75" customHeight="1">
      <c r="G1" s="7"/>
      <c r="H1" s="7"/>
      <c r="I1" s="7"/>
      <c r="J1" s="7"/>
      <c r="K1" s="7"/>
      <c r="M1" s="8"/>
      <c r="N1" s="175"/>
    </row>
    <row r="2" spans="2:15" s="9" customFormat="1" ht="19.5" customHeight="1">
      <c r="B2" s="310" t="s">
        <v>103</v>
      </c>
      <c r="C2" s="310"/>
      <c r="D2" s="310"/>
      <c r="E2" s="310"/>
      <c r="F2" s="310"/>
      <c r="G2" s="310"/>
      <c r="H2" s="310"/>
      <c r="I2" s="310"/>
      <c r="J2" s="310"/>
      <c r="K2" s="310"/>
      <c r="M2" s="8"/>
      <c r="N2" s="175"/>
      <c r="O2" s="6"/>
    </row>
    <row r="3" spans="2:20" s="9" customFormat="1" ht="19.5" customHeight="1">
      <c r="B3" s="310" t="s">
        <v>220</v>
      </c>
      <c r="C3" s="310"/>
      <c r="D3" s="310"/>
      <c r="E3" s="310"/>
      <c r="F3" s="310"/>
      <c r="G3" s="310"/>
      <c r="H3" s="310"/>
      <c r="I3" s="310"/>
      <c r="J3" s="310"/>
      <c r="K3" s="310"/>
      <c r="M3" s="8"/>
      <c r="N3" s="175"/>
      <c r="O3" s="6"/>
      <c r="P3" s="305" t="s">
        <v>148</v>
      </c>
      <c r="Q3" s="306"/>
      <c r="R3" s="306"/>
      <c r="S3" s="307"/>
      <c r="T3" s="195" t="s">
        <v>72</v>
      </c>
    </row>
    <row r="4" spans="2:20" s="6" customFormat="1" ht="16.5" customHeight="1">
      <c r="B4" s="224" t="s">
        <v>155</v>
      </c>
      <c r="C4" s="223" t="s">
        <v>153</v>
      </c>
      <c r="D4" s="10"/>
      <c r="G4" s="11"/>
      <c r="H4" s="7"/>
      <c r="I4" s="12"/>
      <c r="J4" s="12"/>
      <c r="K4" s="7"/>
      <c r="M4" s="8"/>
      <c r="N4" s="175"/>
      <c r="P4" s="192">
        <f>G23</f>
        <v>75600</v>
      </c>
      <c r="Q4" s="193">
        <f>H23+I23+J23+K23</f>
        <v>75600</v>
      </c>
      <c r="R4" s="193">
        <f>G24+G29+G61</f>
        <v>75600</v>
      </c>
      <c r="S4" s="194">
        <f>калькуляция!D45</f>
        <v>75600</v>
      </c>
      <c r="T4" s="196">
        <f>'резерв отпускных'!D10+'резерв отпускных'!D11+'резерв отпускных'!D14+'резерв отпускных'!D15</f>
        <v>45360</v>
      </c>
    </row>
    <row r="5" spans="3:14" s="6" customFormat="1" ht="12.75" customHeight="1">
      <c r="C5" s="223" t="s">
        <v>154</v>
      </c>
      <c r="G5" s="7"/>
      <c r="H5" s="7"/>
      <c r="I5" s="7"/>
      <c r="J5" s="7"/>
      <c r="K5" s="7"/>
      <c r="M5" s="8"/>
      <c r="N5" s="175"/>
    </row>
    <row r="6" spans="3:14" s="6" customFormat="1" ht="12.75" customHeight="1">
      <c r="C6" s="223"/>
      <c r="G6" s="7"/>
      <c r="H6" s="7"/>
      <c r="I6" s="7"/>
      <c r="J6" s="7"/>
      <c r="K6" s="7"/>
      <c r="M6" s="8"/>
      <c r="N6" s="175"/>
    </row>
    <row r="7" spans="3:14" s="6" customFormat="1" ht="12.75" customHeight="1">
      <c r="C7" s="223"/>
      <c r="G7" s="7"/>
      <c r="H7" s="7"/>
      <c r="I7" s="7"/>
      <c r="J7" s="7"/>
      <c r="K7" s="7"/>
      <c r="M7" s="8"/>
      <c r="N7" s="175"/>
    </row>
    <row r="8" spans="2:20" s="5" customFormat="1" ht="18" customHeight="1">
      <c r="B8" s="273" t="s">
        <v>192</v>
      </c>
      <c r="C8" s="272"/>
      <c r="D8" s="272" t="s">
        <v>199</v>
      </c>
      <c r="E8" s="272"/>
      <c r="F8" s="272"/>
      <c r="G8" s="272"/>
      <c r="H8" s="272"/>
      <c r="I8" s="272"/>
      <c r="J8" s="272"/>
      <c r="K8" s="272"/>
      <c r="M8" s="14"/>
      <c r="N8" s="176"/>
      <c r="P8" s="199">
        <f>E19-P4</f>
        <v>0</v>
      </c>
      <c r="Q8" s="199">
        <f>E19-Q4</f>
        <v>0</v>
      </c>
      <c r="R8" s="199">
        <f>E19-R4</f>
        <v>0</v>
      </c>
      <c r="S8" s="199">
        <f>E19-S4</f>
        <v>0</v>
      </c>
      <c r="T8" s="199">
        <f>G24-T4</f>
        <v>0</v>
      </c>
    </row>
    <row r="9" spans="2:14" s="6" customFormat="1" ht="18" customHeight="1">
      <c r="B9" s="277" t="s">
        <v>193</v>
      </c>
      <c r="C9" s="280"/>
      <c r="D9" s="277" t="s">
        <v>194</v>
      </c>
      <c r="E9" s="279"/>
      <c r="G9" s="13"/>
      <c r="H9" s="7"/>
      <c r="I9" s="7"/>
      <c r="J9" s="7"/>
      <c r="K9" s="7"/>
      <c r="M9" s="8"/>
      <c r="N9" s="175"/>
    </row>
    <row r="10" spans="2:14" s="6" customFormat="1" ht="27" customHeight="1">
      <c r="B10" s="6" t="s">
        <v>41</v>
      </c>
      <c r="E10" s="173">
        <v>6</v>
      </c>
      <c r="F10" s="88"/>
      <c r="G10" s="7"/>
      <c r="H10" s="7"/>
      <c r="I10" s="7"/>
      <c r="J10" s="7"/>
      <c r="K10" s="7"/>
      <c r="M10" s="8"/>
      <c r="N10" s="175"/>
    </row>
    <row r="11" spans="2:15" s="6" customFormat="1" ht="18" customHeight="1">
      <c r="B11" s="6" t="s">
        <v>44</v>
      </c>
      <c r="E11" s="173">
        <v>2</v>
      </c>
      <c r="F11" s="15"/>
      <c r="G11" s="7"/>
      <c r="H11" s="7"/>
      <c r="I11" s="7"/>
      <c r="J11" s="7"/>
      <c r="K11" s="7"/>
      <c r="M11" s="8"/>
      <c r="N11" s="177"/>
      <c r="O11" s="16"/>
    </row>
    <row r="12" spans="2:15" s="6" customFormat="1" ht="18" customHeight="1">
      <c r="B12" s="6" t="s">
        <v>196</v>
      </c>
      <c r="E12" s="173">
        <f>E11*4</f>
        <v>8</v>
      </c>
      <c r="F12" s="15"/>
      <c r="G12" s="7"/>
      <c r="H12" s="7"/>
      <c r="I12" s="7"/>
      <c r="J12" s="7"/>
      <c r="K12" s="7"/>
      <c r="M12" s="8"/>
      <c r="N12" s="177"/>
      <c r="O12" s="16"/>
    </row>
    <row r="13" spans="2:14" s="6" customFormat="1" ht="18" customHeight="1">
      <c r="B13" s="6" t="s">
        <v>42</v>
      </c>
      <c r="E13" s="173">
        <v>1</v>
      </c>
      <c r="F13" s="15"/>
      <c r="G13" s="17"/>
      <c r="H13" s="7"/>
      <c r="I13" s="7"/>
      <c r="J13" s="7"/>
      <c r="K13" s="7"/>
      <c r="M13" s="8"/>
      <c r="N13" s="175"/>
    </row>
    <row r="14" spans="2:14" s="6" customFormat="1" ht="18" customHeight="1">
      <c r="B14" s="6" t="s">
        <v>45</v>
      </c>
      <c r="E14" s="172">
        <f>G15</f>
        <v>36</v>
      </c>
      <c r="F14" s="15"/>
      <c r="G14" s="7"/>
      <c r="H14" s="7"/>
      <c r="I14" s="7"/>
      <c r="J14" s="7"/>
      <c r="K14" s="7"/>
      <c r="M14" s="8"/>
      <c r="N14" s="175"/>
    </row>
    <row r="15" spans="2:14" s="6" customFormat="1" ht="18" customHeight="1">
      <c r="B15" s="6" t="s">
        <v>94</v>
      </c>
      <c r="E15" s="173">
        <f>E14*E11*E13</f>
        <v>72</v>
      </c>
      <c r="G15" s="27">
        <f>H15+I15+J15+K15</f>
        <v>36</v>
      </c>
      <c r="H15" s="27">
        <v>4</v>
      </c>
      <c r="I15" s="27">
        <v>12</v>
      </c>
      <c r="J15" s="27">
        <v>12</v>
      </c>
      <c r="K15" s="27">
        <v>8</v>
      </c>
      <c r="M15" s="8"/>
      <c r="N15" s="175"/>
    </row>
    <row r="16" spans="2:14" s="6" customFormat="1" ht="18" customHeight="1">
      <c r="B16" s="6" t="s">
        <v>195</v>
      </c>
      <c r="D16" s="6" t="s">
        <v>149</v>
      </c>
      <c r="E16" s="173">
        <f>E17*E12</f>
        <v>1400</v>
      </c>
      <c r="G16" s="164"/>
      <c r="H16" s="164"/>
      <c r="I16" s="164"/>
      <c r="J16" s="164"/>
      <c r="K16" s="164"/>
      <c r="M16" s="8"/>
      <c r="N16" s="175"/>
    </row>
    <row r="17" spans="2:14" s="6" customFormat="1" ht="18" customHeight="1">
      <c r="B17" s="6" t="s">
        <v>130</v>
      </c>
      <c r="E17" s="173">
        <v>175</v>
      </c>
      <c r="F17" s="15"/>
      <c r="G17" s="89"/>
      <c r="H17" s="89"/>
      <c r="I17" s="89"/>
      <c r="J17" s="89"/>
      <c r="K17" s="89"/>
      <c r="M17" s="8"/>
      <c r="N17" s="175"/>
    </row>
    <row r="18" spans="2:14" s="6" customFormat="1" ht="21" customHeight="1">
      <c r="B18" s="6" t="s">
        <v>46</v>
      </c>
      <c r="E18" s="173">
        <f>E11*E14*E17</f>
        <v>12600</v>
      </c>
      <c r="F18" s="6" t="s">
        <v>149</v>
      </c>
      <c r="G18" s="89"/>
      <c r="H18" s="89"/>
      <c r="I18" s="89"/>
      <c r="J18" s="89"/>
      <c r="K18" s="89"/>
      <c r="M18" s="8"/>
      <c r="N18" s="175"/>
    </row>
    <row r="19" spans="1:14" s="6" customFormat="1" ht="18" customHeight="1">
      <c r="A19" s="18"/>
      <c r="B19" s="18" t="s">
        <v>47</v>
      </c>
      <c r="C19" s="19"/>
      <c r="D19" s="19"/>
      <c r="E19" s="174">
        <f>E18*E10</f>
        <v>75600</v>
      </c>
      <c r="F19" s="19"/>
      <c r="G19" s="89"/>
      <c r="H19" s="89"/>
      <c r="I19" s="89"/>
      <c r="J19" s="89"/>
      <c r="K19" s="89"/>
      <c r="L19" s="6" t="s">
        <v>1</v>
      </c>
      <c r="M19" s="8"/>
      <c r="N19" s="175"/>
    </row>
    <row r="20" spans="1:14" s="6" customFormat="1" ht="18" customHeight="1">
      <c r="A20" s="18"/>
      <c r="B20" s="18"/>
      <c r="C20" s="19"/>
      <c r="D20" s="19"/>
      <c r="E20" s="20"/>
      <c r="F20" s="19"/>
      <c r="G20" s="89"/>
      <c r="H20" s="89"/>
      <c r="I20" s="89"/>
      <c r="J20" s="89"/>
      <c r="K20" s="89"/>
      <c r="M20" s="8"/>
      <c r="N20" s="175"/>
    </row>
    <row r="21" spans="1:23" s="6" customFormat="1" ht="18" customHeight="1">
      <c r="A21" s="18"/>
      <c r="B21" s="21" t="s">
        <v>29</v>
      </c>
      <c r="C21" s="22"/>
      <c r="D21" s="22"/>
      <c r="E21" s="22"/>
      <c r="F21" s="22"/>
      <c r="G21" s="148"/>
      <c r="H21" s="312">
        <v>2023</v>
      </c>
      <c r="I21" s="313"/>
      <c r="J21" s="314">
        <v>2024</v>
      </c>
      <c r="K21" s="315"/>
      <c r="L21" s="23" t="s">
        <v>39</v>
      </c>
      <c r="M21" s="8"/>
      <c r="N21" s="311" t="s">
        <v>145</v>
      </c>
      <c r="P21" s="24"/>
      <c r="Q21" s="25"/>
      <c r="R21" s="4"/>
      <c r="S21" s="4"/>
      <c r="T21" s="25"/>
      <c r="U21" s="25"/>
      <c r="V21" s="25"/>
      <c r="W21" s="25"/>
    </row>
    <row r="22" spans="1:14" s="6" customFormat="1" ht="18" customHeight="1">
      <c r="A22" s="18"/>
      <c r="B22" s="26"/>
      <c r="C22" s="116" t="s">
        <v>43</v>
      </c>
      <c r="D22" s="18"/>
      <c r="E22" s="18"/>
      <c r="F22" s="18"/>
      <c r="G22" s="149"/>
      <c r="H22" s="27" t="s">
        <v>32</v>
      </c>
      <c r="I22" s="27" t="s">
        <v>33</v>
      </c>
      <c r="J22" s="27" t="s">
        <v>30</v>
      </c>
      <c r="K22" s="27" t="s">
        <v>31</v>
      </c>
      <c r="L22" s="28" t="s">
        <v>40</v>
      </c>
      <c r="M22" s="8"/>
      <c r="N22" s="311"/>
    </row>
    <row r="23" spans="2:23" s="25" customFormat="1" ht="30" customHeight="1">
      <c r="B23" s="29"/>
      <c r="C23" s="30"/>
      <c r="D23" s="30"/>
      <c r="E23" s="30"/>
      <c r="F23" s="30"/>
      <c r="G23" s="150">
        <f>E19</f>
        <v>75600</v>
      </c>
      <c r="H23" s="151">
        <f>E19/G15*H15</f>
        <v>8400</v>
      </c>
      <c r="I23" s="151">
        <f>E19/G15*I15</f>
        <v>25200</v>
      </c>
      <c r="J23" s="151">
        <f>E19/G15*J15</f>
        <v>25200</v>
      </c>
      <c r="K23" s="151">
        <f>E19/G15*K15</f>
        <v>16800</v>
      </c>
      <c r="L23" s="31">
        <f>E17</f>
        <v>175</v>
      </c>
      <c r="M23" s="32" t="e">
        <f>G23/N11</f>
        <v>#DIV/0!</v>
      </c>
      <c r="N23" s="178">
        <f>G23/G23</f>
        <v>1</v>
      </c>
      <c r="O23" s="291">
        <f>G23+' (смета) (2)'!G20+' (смета) (3)'!G21+' (смета) (4)'!G19+' (смета) (5)'!G19</f>
        <v>1270800</v>
      </c>
      <c r="P23" s="292">
        <f>O23*10%</f>
        <v>127080</v>
      </c>
      <c r="Q23" s="6"/>
      <c r="R23" s="6"/>
      <c r="S23" s="6"/>
      <c r="T23" s="6"/>
      <c r="U23" s="6"/>
      <c r="V23" s="6"/>
      <c r="W23" s="6"/>
    </row>
    <row r="24" spans="2:24" s="6" customFormat="1" ht="24.75" customHeight="1" thickBot="1">
      <c r="B24" s="101" t="s">
        <v>28</v>
      </c>
      <c r="C24" s="102"/>
      <c r="D24" s="102"/>
      <c r="E24" s="102"/>
      <c r="F24" s="102"/>
      <c r="G24" s="152">
        <f>+H24+I24+J24+K24</f>
        <v>45360</v>
      </c>
      <c r="H24" s="152">
        <f>H23*0.6</f>
        <v>5040</v>
      </c>
      <c r="I24" s="152">
        <f>I23*0.6</f>
        <v>15120</v>
      </c>
      <c r="J24" s="152">
        <f>J23*0.6</f>
        <v>15120</v>
      </c>
      <c r="K24" s="152">
        <f>K23*0.6</f>
        <v>10080</v>
      </c>
      <c r="L24" s="33"/>
      <c r="M24" s="32">
        <f>G24/8208</f>
        <v>5.53</v>
      </c>
      <c r="N24" s="179">
        <f>G24/G23</f>
        <v>0.6</v>
      </c>
      <c r="O24" s="147"/>
      <c r="X24" s="142"/>
    </row>
    <row r="25" spans="2:22" s="6" customFormat="1" ht="17.25" customHeight="1">
      <c r="B25" s="103"/>
      <c r="C25" s="34"/>
      <c r="D25" s="34"/>
      <c r="E25" s="34"/>
      <c r="F25" s="35"/>
      <c r="G25" s="27"/>
      <c r="H25" s="148">
        <v>0</v>
      </c>
      <c r="I25" s="148"/>
      <c r="J25" s="148"/>
      <c r="K25" s="148"/>
      <c r="L25" s="36" t="e">
        <f>M25</f>
        <v>#DIV/0!</v>
      </c>
      <c r="M25" s="32" t="e">
        <f>G25/N11</f>
        <v>#DIV/0!</v>
      </c>
      <c r="N25" s="179"/>
      <c r="P25" s="181" t="s">
        <v>142</v>
      </c>
      <c r="Q25" s="182"/>
      <c r="R25" s="182"/>
      <c r="S25" s="182"/>
      <c r="T25" s="183"/>
      <c r="U25" s="18"/>
      <c r="V25" s="18"/>
    </row>
    <row r="26" spans="1:24" s="6" customFormat="1" ht="17.25" customHeight="1">
      <c r="A26" s="6" t="s">
        <v>124</v>
      </c>
      <c r="B26" s="99" t="s">
        <v>132</v>
      </c>
      <c r="C26" s="37"/>
      <c r="D26" s="37"/>
      <c r="E26" s="37"/>
      <c r="F26" s="37"/>
      <c r="G26" s="27">
        <f aca="true" t="shared" si="0" ref="G26:G36">SUM(H26:K26)</f>
        <v>34839</v>
      </c>
      <c r="H26" s="27">
        <f>H24/1.302</f>
        <v>3871</v>
      </c>
      <c r="I26" s="27">
        <f>I24/1.302</f>
        <v>11613</v>
      </c>
      <c r="J26" s="27">
        <f>J24/1.302</f>
        <v>11613</v>
      </c>
      <c r="K26" s="27">
        <f>K24/1.302</f>
        <v>7742</v>
      </c>
      <c r="L26" s="38" t="e">
        <f>M26</f>
        <v>#DIV/0!</v>
      </c>
      <c r="M26" s="32" t="e">
        <f>G26/N11</f>
        <v>#DIV/0!</v>
      </c>
      <c r="N26" s="179"/>
      <c r="P26" s="184" t="s">
        <v>123</v>
      </c>
      <c r="Q26" s="185">
        <f>E17*0.546/1.302/1.1357/1.3</f>
        <v>49.71</v>
      </c>
      <c r="R26" s="186" t="s">
        <v>143</v>
      </c>
      <c r="S26" s="186"/>
      <c r="T26" s="197" t="s">
        <v>189</v>
      </c>
      <c r="U26" s="186"/>
      <c r="V26" s="186"/>
      <c r="X26" s="142"/>
    </row>
    <row r="27" spans="1:22" s="6" customFormat="1" ht="17.25" customHeight="1" hidden="1">
      <c r="A27" s="5" t="s">
        <v>125</v>
      </c>
      <c r="B27" s="39" t="s">
        <v>129</v>
      </c>
      <c r="C27" s="39"/>
      <c r="D27" s="37"/>
      <c r="E27" s="37"/>
      <c r="F27" s="37"/>
      <c r="G27" s="27">
        <f t="shared" si="0"/>
        <v>0</v>
      </c>
      <c r="H27" s="27"/>
      <c r="I27" s="27"/>
      <c r="J27" s="27"/>
      <c r="K27" s="27"/>
      <c r="L27" s="40"/>
      <c r="M27" s="32">
        <f>G27/5760</f>
        <v>0</v>
      </c>
      <c r="N27" s="179"/>
      <c r="P27" s="187"/>
      <c r="Q27" s="18"/>
      <c r="R27" s="18"/>
      <c r="S27" s="18"/>
      <c r="T27" s="188"/>
      <c r="U27" s="18"/>
      <c r="V27" s="18"/>
    </row>
    <row r="28" spans="1:22" s="6" customFormat="1" ht="17.25" customHeight="1" thickBot="1">
      <c r="A28" s="5" t="s">
        <v>125</v>
      </c>
      <c r="B28" s="100" t="s">
        <v>133</v>
      </c>
      <c r="C28" s="41"/>
      <c r="D28" s="42"/>
      <c r="E28" s="42"/>
      <c r="F28" s="42"/>
      <c r="G28" s="27">
        <f t="shared" si="0"/>
        <v>10521</v>
      </c>
      <c r="H28" s="27">
        <f>H24-H26</f>
        <v>1169</v>
      </c>
      <c r="I28" s="27">
        <f>I24-I26</f>
        <v>3507</v>
      </c>
      <c r="J28" s="27">
        <f>J24-J26</f>
        <v>3507</v>
      </c>
      <c r="K28" s="27">
        <f>K24-K26</f>
        <v>2338</v>
      </c>
      <c r="L28" s="43" t="e">
        <f>M28</f>
        <v>#DIV/0!</v>
      </c>
      <c r="M28" s="32" t="e">
        <f aca="true" t="shared" si="1" ref="M28:M36">G28/$N$11</f>
        <v>#DIV/0!</v>
      </c>
      <c r="N28" s="179"/>
      <c r="P28" s="189" t="s">
        <v>141</v>
      </c>
      <c r="Q28" s="190">
        <f>E17*0.054/1.302/1.1357/1.3</f>
        <v>4.92</v>
      </c>
      <c r="R28" s="191" t="s">
        <v>143</v>
      </c>
      <c r="S28" s="191"/>
      <c r="T28" s="198" t="s">
        <v>159</v>
      </c>
      <c r="U28" s="18"/>
      <c r="V28" s="18"/>
    </row>
    <row r="29" spans="2:16" s="6" customFormat="1" ht="24.75" customHeight="1">
      <c r="B29" s="117" t="s">
        <v>0</v>
      </c>
      <c r="C29" s="118"/>
      <c r="D29" s="118"/>
      <c r="E29" s="118"/>
      <c r="F29" s="118"/>
      <c r="G29" s="153">
        <f t="shared" si="0"/>
        <v>12323</v>
      </c>
      <c r="H29" s="152">
        <f>H30+H31+H32+H45+H46+H51</f>
        <v>1369</v>
      </c>
      <c r="I29" s="152">
        <f>I30+I31+I32+I45+I46+I51</f>
        <v>4108</v>
      </c>
      <c r="J29" s="152">
        <f>J30+J31+J32+J45+J46+J51</f>
        <v>4108</v>
      </c>
      <c r="K29" s="152">
        <f>K30+K31+K32+K45+K46+K51</f>
        <v>2738</v>
      </c>
      <c r="L29" s="201" t="e">
        <f>L30+L31+L32+L45+L46+L51</f>
        <v>#DIV/0!</v>
      </c>
      <c r="M29" s="32" t="e">
        <f t="shared" si="1"/>
        <v>#DIV/0!</v>
      </c>
      <c r="N29" s="179"/>
      <c r="P29" s="8"/>
    </row>
    <row r="30" spans="2:15" s="44" customFormat="1" ht="17.25" customHeight="1" hidden="1">
      <c r="B30" s="45" t="s">
        <v>126</v>
      </c>
      <c r="C30" s="80"/>
      <c r="D30" s="80"/>
      <c r="E30" s="80"/>
      <c r="F30" s="80"/>
      <c r="G30" s="27">
        <f t="shared" si="0"/>
        <v>0</v>
      </c>
      <c r="H30" s="27"/>
      <c r="I30" s="27"/>
      <c r="J30" s="27"/>
      <c r="K30" s="154"/>
      <c r="L30" s="46">
        <f>(H30/3*$L$23)/($H$23/3)</f>
        <v>0</v>
      </c>
      <c r="M30" s="32" t="e">
        <f t="shared" si="1"/>
        <v>#DIV/0!</v>
      </c>
      <c r="N30" s="179"/>
      <c r="O30" s="5"/>
    </row>
    <row r="31" spans="2:15" s="44" customFormat="1" ht="17.25" customHeight="1" hidden="1">
      <c r="B31" s="45" t="s">
        <v>127</v>
      </c>
      <c r="C31" s="80"/>
      <c r="D31" s="80"/>
      <c r="E31" s="80"/>
      <c r="F31" s="80"/>
      <c r="G31" s="27">
        <f t="shared" si="0"/>
        <v>0</v>
      </c>
      <c r="H31" s="27"/>
      <c r="I31" s="27"/>
      <c r="J31" s="27"/>
      <c r="K31" s="27"/>
      <c r="L31" s="46"/>
      <c r="M31" s="32" t="e">
        <f t="shared" si="1"/>
        <v>#DIV/0!</v>
      </c>
      <c r="N31" s="179"/>
      <c r="O31" s="5"/>
    </row>
    <row r="32" spans="2:15" s="44" customFormat="1" ht="17.25" customHeight="1">
      <c r="B32" s="2" t="s">
        <v>106</v>
      </c>
      <c r="C32" s="105"/>
      <c r="D32" s="105"/>
      <c r="E32" s="105"/>
      <c r="F32" s="105"/>
      <c r="G32" s="145">
        <f>SUM(H32:K32)</f>
        <v>7560</v>
      </c>
      <c r="H32" s="27">
        <f>H33+H36+H40</f>
        <v>840</v>
      </c>
      <c r="I32" s="27">
        <f>I33+I36+I40</f>
        <v>2520</v>
      </c>
      <c r="J32" s="27">
        <f>SUM(J33:J40)</f>
        <v>2520</v>
      </c>
      <c r="K32" s="27">
        <f>SUM(K33:K40)</f>
        <v>1680</v>
      </c>
      <c r="L32" s="43" t="e">
        <f>L33+L36+L40</f>
        <v>#DIV/0!</v>
      </c>
      <c r="M32" s="32" t="e">
        <f>G32/$N$11</f>
        <v>#DIV/0!</v>
      </c>
      <c r="N32" s="179">
        <f>G32/G23</f>
        <v>0.1</v>
      </c>
      <c r="O32" s="291">
        <f>G32+' (смета) (2)'!G29+' (смета) (3)'!G30+' (смета) (4)'!G28+' (смета) (5)'!G28+' (смета) (6)'!G28</f>
        <v>144680</v>
      </c>
    </row>
    <row r="33" spans="2:15" s="47" customFormat="1" ht="17.25" customHeight="1">
      <c r="B33" s="39" t="s">
        <v>2</v>
      </c>
      <c r="C33" s="37"/>
      <c r="D33" s="37"/>
      <c r="E33" s="48">
        <v>0.065</v>
      </c>
      <c r="F33" s="49"/>
      <c r="G33" s="155">
        <f t="shared" si="0"/>
        <v>4914</v>
      </c>
      <c r="H33" s="156">
        <f>+H23*6.5%</f>
        <v>546</v>
      </c>
      <c r="I33" s="156">
        <f>+I23*6.5%</f>
        <v>1638</v>
      </c>
      <c r="J33" s="156">
        <f>+J23*6.5%</f>
        <v>1638</v>
      </c>
      <c r="K33" s="156">
        <f>+K23*6.5%</f>
        <v>1092</v>
      </c>
      <c r="L33" s="38" t="e">
        <f>M33</f>
        <v>#DIV/0!</v>
      </c>
      <c r="M33" s="32" t="e">
        <f t="shared" si="1"/>
        <v>#DIV/0!</v>
      </c>
      <c r="N33" s="289">
        <f>G33+' (смета) (2)'!G30+' (смета) (3)'!G31+' (смета) (4)'!G29+' (смета) (5)'!G29+' (смета) (6)'!G29</f>
        <v>94042</v>
      </c>
      <c r="O33" s="6"/>
    </row>
    <row r="34" spans="2:15" s="50" customFormat="1" ht="17.25" customHeight="1" hidden="1">
      <c r="B34" s="51" t="s">
        <v>3</v>
      </c>
      <c r="C34" s="52"/>
      <c r="D34" s="52" t="s">
        <v>4</v>
      </c>
      <c r="E34" s="53"/>
      <c r="F34" s="52" t="s">
        <v>5</v>
      </c>
      <c r="G34" s="157">
        <f t="shared" si="0"/>
        <v>0</v>
      </c>
      <c r="H34" s="158"/>
      <c r="I34" s="158"/>
      <c r="J34" s="158"/>
      <c r="K34" s="158"/>
      <c r="L34" s="38">
        <f>(H34/3*$L$23)/($H$23/3)</f>
        <v>0</v>
      </c>
      <c r="M34" s="32" t="e">
        <f t="shared" si="1"/>
        <v>#DIV/0!</v>
      </c>
      <c r="N34" s="289">
        <f>G34+' (смета) (2)'!G31+' (смета) (3)'!G32+' (смета) (4)'!G30+' (смета) (5)'!G30+' (смета) (6)'!G30</f>
        <v>0</v>
      </c>
      <c r="O34" s="54"/>
    </row>
    <row r="35" spans="2:15" s="50" customFormat="1" ht="17.25" customHeight="1" hidden="1">
      <c r="B35" s="55" t="s">
        <v>6</v>
      </c>
      <c r="C35" s="56">
        <f>C34</f>
        <v>0</v>
      </c>
      <c r="D35" s="56" t="s">
        <v>7</v>
      </c>
      <c r="E35" s="57"/>
      <c r="F35" s="56"/>
      <c r="G35" s="159">
        <f t="shared" si="0"/>
        <v>0</v>
      </c>
      <c r="H35" s="158"/>
      <c r="I35" s="158"/>
      <c r="J35" s="158"/>
      <c r="K35" s="158"/>
      <c r="L35" s="38">
        <f>(H35/3*$L$23)/($H$23/3)</f>
        <v>0</v>
      </c>
      <c r="M35" s="32" t="e">
        <f t="shared" si="1"/>
        <v>#DIV/0!</v>
      </c>
      <c r="N35" s="289">
        <f>G35+' (смета) (2)'!G32+' (смета) (3)'!G33+' (смета) (4)'!G31+' (смета) (5)'!G31+' (смета) (6)'!G31</f>
        <v>0</v>
      </c>
      <c r="O35" s="54"/>
    </row>
    <row r="36" spans="2:15" s="47" customFormat="1" ht="17.25" customHeight="1">
      <c r="B36" s="39" t="s">
        <v>8</v>
      </c>
      <c r="C36" s="37"/>
      <c r="D36" s="37"/>
      <c r="E36" s="48">
        <v>0.021</v>
      </c>
      <c r="F36" s="49"/>
      <c r="G36" s="155">
        <f t="shared" si="0"/>
        <v>1587.6</v>
      </c>
      <c r="H36" s="156">
        <f>+H23*2.1%</f>
        <v>176.4</v>
      </c>
      <c r="I36" s="156">
        <f>+I23*2.1%</f>
        <v>529.2</v>
      </c>
      <c r="J36" s="156">
        <f>+J23*2.1%</f>
        <v>529.2</v>
      </c>
      <c r="K36" s="156">
        <f>+K23*2.1%</f>
        <v>352.8</v>
      </c>
      <c r="L36" s="38" t="e">
        <f>M36</f>
        <v>#DIV/0!</v>
      </c>
      <c r="M36" s="32" t="e">
        <f t="shared" si="1"/>
        <v>#DIV/0!</v>
      </c>
      <c r="N36" s="289">
        <f>G36+' (смета) (2)'!G33+' (смета) (3)'!G34+' (смета) (4)'!G32+' (смета) (5)'!G32+' (смета) (6)'!G32</f>
        <v>30382.8</v>
      </c>
      <c r="O36" s="6"/>
    </row>
    <row r="37" spans="2:16" s="50" customFormat="1" ht="15.75" hidden="1">
      <c r="B37" s="58"/>
      <c r="C37" s="52"/>
      <c r="D37" s="52">
        <f>1.44*24*3</f>
        <v>103.68</v>
      </c>
      <c r="E37" s="53" t="s">
        <v>48</v>
      </c>
      <c r="F37" s="106"/>
      <c r="G37" s="160"/>
      <c r="H37" s="158"/>
      <c r="I37" s="158"/>
      <c r="J37" s="158"/>
      <c r="K37" s="158"/>
      <c r="L37" s="38">
        <f>(H37/3*$L$23)/($H$23/3)</f>
        <v>0</v>
      </c>
      <c r="M37" s="32" t="e">
        <f>F37/$N$11</f>
        <v>#DIV/0!</v>
      </c>
      <c r="N37" s="289">
        <f>G37+' (смета) (2)'!G34+' (смета) (3)'!G35+' (смета) (4)'!G33+' (смета) (5)'!G33+' (смета) (6)'!G33</f>
        <v>0</v>
      </c>
      <c r="O37" s="54"/>
      <c r="P37" s="50">
        <v>224</v>
      </c>
    </row>
    <row r="38" spans="2:15" s="50" customFormat="1" ht="15.75" hidden="1">
      <c r="B38" s="52" t="s">
        <v>36</v>
      </c>
      <c r="C38" s="54"/>
      <c r="D38" s="52"/>
      <c r="E38" s="53"/>
      <c r="F38" s="52"/>
      <c r="G38" s="161"/>
      <c r="H38" s="158"/>
      <c r="I38" s="158"/>
      <c r="J38" s="158"/>
      <c r="K38" s="158"/>
      <c r="L38" s="38">
        <f>(H38/3*$L$23)/($H$23/3)</f>
        <v>0</v>
      </c>
      <c r="M38" s="32" t="e">
        <f aca="true" t="shared" si="2" ref="M38:M76">G38/$N$11</f>
        <v>#DIV/0!</v>
      </c>
      <c r="N38" s="289">
        <f>G38+' (смета) (2)'!G35+' (смета) (3)'!G36+' (смета) (4)'!G34+' (смета) (5)'!G34+' (смета) (6)'!G34</f>
        <v>0</v>
      </c>
      <c r="O38" s="54"/>
    </row>
    <row r="39" spans="2:15" s="50" customFormat="1" ht="15.75" hidden="1">
      <c r="B39" s="59"/>
      <c r="C39" s="52" t="s">
        <v>37</v>
      </c>
      <c r="D39" s="52"/>
      <c r="E39" s="53"/>
      <c r="F39" s="59"/>
      <c r="G39" s="161" t="s">
        <v>38</v>
      </c>
      <c r="H39" s="158"/>
      <c r="I39" s="158"/>
      <c r="J39" s="158"/>
      <c r="K39" s="158"/>
      <c r="L39" s="38">
        <f>(H39/3*$L$23)/($H$23/3)</f>
        <v>0</v>
      </c>
      <c r="M39" s="32" t="e">
        <f t="shared" si="2"/>
        <v>#VALUE!</v>
      </c>
      <c r="N39" s="289" t="e">
        <f>G39+' (смета) (2)'!G36+' (смета) (3)'!G37+' (смета) (4)'!G35+' (смета) (5)'!G35+' (смета) (6)'!G35</f>
        <v>#VALUE!</v>
      </c>
      <c r="O39" s="54"/>
    </row>
    <row r="40" spans="2:15" s="47" customFormat="1" ht="17.25" customHeight="1">
      <c r="B40" s="60" t="s">
        <v>9</v>
      </c>
      <c r="C40" s="37"/>
      <c r="D40" s="37"/>
      <c r="E40" s="48">
        <v>0.014</v>
      </c>
      <c r="F40" s="61"/>
      <c r="G40" s="155">
        <f>SUM(H40:K40)</f>
        <v>1058.4</v>
      </c>
      <c r="H40" s="156">
        <f>+H23*1.4%</f>
        <v>117.6</v>
      </c>
      <c r="I40" s="156">
        <f>+I23*1.4%</f>
        <v>352.8</v>
      </c>
      <c r="J40" s="156">
        <f>+J23*1.4%</f>
        <v>352.8</v>
      </c>
      <c r="K40" s="156">
        <f>+K23*1.4%</f>
        <v>235.2</v>
      </c>
      <c r="L40" s="38" t="e">
        <f>M40</f>
        <v>#DIV/0!</v>
      </c>
      <c r="M40" s="32" t="e">
        <f t="shared" si="2"/>
        <v>#DIV/0!</v>
      </c>
      <c r="N40" s="289">
        <f>G40+' (смета) (2)'!G37+' (смета) (3)'!G38+' (смета) (4)'!G36+' (смета) (5)'!G36+' (смета) (6)'!G36</f>
        <v>20255.2</v>
      </c>
      <c r="O40" s="6"/>
    </row>
    <row r="41" spans="2:16" s="50" customFormat="1" ht="18.75" hidden="1">
      <c r="B41" s="58" t="s">
        <v>10</v>
      </c>
      <c r="C41" s="52"/>
      <c r="D41" s="52">
        <f>50</f>
        <v>50</v>
      </c>
      <c r="E41" s="52" t="s">
        <v>49</v>
      </c>
      <c r="F41" s="54"/>
      <c r="G41" s="162"/>
      <c r="H41" s="163"/>
      <c r="I41" s="163"/>
      <c r="J41" s="163"/>
      <c r="K41" s="163"/>
      <c r="L41" s="62"/>
      <c r="M41" s="32" t="e">
        <f t="shared" si="2"/>
        <v>#DIV/0!</v>
      </c>
      <c r="N41" s="180"/>
      <c r="O41" s="54"/>
      <c r="P41" s="50">
        <v>224</v>
      </c>
    </row>
    <row r="42" spans="2:16" s="50" customFormat="1" ht="18.75" hidden="1">
      <c r="B42" s="58" t="s">
        <v>11</v>
      </c>
      <c r="C42" s="52"/>
      <c r="D42" s="52">
        <f>50</f>
        <v>50</v>
      </c>
      <c r="E42" s="52" t="s">
        <v>49</v>
      </c>
      <c r="F42" s="54"/>
      <c r="G42" s="162"/>
      <c r="H42" s="163"/>
      <c r="I42" s="163"/>
      <c r="J42" s="163"/>
      <c r="K42" s="163">
        <f>H42</f>
        <v>0</v>
      </c>
      <c r="L42" s="62"/>
      <c r="M42" s="32" t="e">
        <f t="shared" si="2"/>
        <v>#DIV/0!</v>
      </c>
      <c r="N42" s="180"/>
      <c r="O42" s="54"/>
      <c r="P42" s="50">
        <v>224</v>
      </c>
    </row>
    <row r="43" spans="2:15" s="47" customFormat="1" ht="11.25" customHeight="1" hidden="1">
      <c r="B43" s="63"/>
      <c r="C43" s="18"/>
      <c r="D43" s="18"/>
      <c r="E43" s="18"/>
      <c r="F43" s="18"/>
      <c r="G43" s="164"/>
      <c r="H43" s="164"/>
      <c r="I43" s="149"/>
      <c r="J43" s="165"/>
      <c r="K43" s="165"/>
      <c r="L43" s="62"/>
      <c r="M43" s="32" t="e">
        <f t="shared" si="2"/>
        <v>#DIV/0!</v>
      </c>
      <c r="N43" s="175"/>
      <c r="O43" s="6"/>
    </row>
    <row r="44" spans="2:15" s="44" customFormat="1" ht="18.75" customHeight="1" hidden="1">
      <c r="B44" s="45" t="s">
        <v>34</v>
      </c>
      <c r="C44" s="80"/>
      <c r="D44" s="80"/>
      <c r="E44" s="80"/>
      <c r="F44" s="80"/>
      <c r="G44" s="145"/>
      <c r="H44" s="146"/>
      <c r="I44" s="146"/>
      <c r="J44" s="146"/>
      <c r="K44" s="166"/>
      <c r="L44" s="64"/>
      <c r="M44" s="32" t="e">
        <f t="shared" si="2"/>
        <v>#DIV/0!</v>
      </c>
      <c r="N44" s="176"/>
      <c r="O44" s="5"/>
    </row>
    <row r="45" spans="2:15" s="44" customFormat="1" ht="20.25" customHeight="1" hidden="1">
      <c r="B45" s="77"/>
      <c r="C45" s="107"/>
      <c r="D45" s="107"/>
      <c r="E45" s="107"/>
      <c r="F45" s="107"/>
      <c r="G45" s="27">
        <f aca="true" t="shared" si="3" ref="G45:G55">SUM(H45:K45)</f>
        <v>0</v>
      </c>
      <c r="H45" s="167"/>
      <c r="I45" s="167"/>
      <c r="J45" s="167"/>
      <c r="K45" s="167"/>
      <c r="L45" s="46">
        <f>(H45/3*$L$23)/($H$23/3)</f>
        <v>0</v>
      </c>
      <c r="M45" s="32" t="e">
        <f t="shared" si="2"/>
        <v>#DIV/0!</v>
      </c>
      <c r="N45" s="176"/>
      <c r="O45" s="5"/>
    </row>
    <row r="46" spans="2:15" s="44" customFormat="1" ht="21" customHeight="1" hidden="1">
      <c r="B46" s="108" t="s">
        <v>35</v>
      </c>
      <c r="C46" s="109"/>
      <c r="D46" s="109"/>
      <c r="E46" s="109"/>
      <c r="F46" s="109"/>
      <c r="G46" s="27">
        <f t="shared" si="3"/>
        <v>0</v>
      </c>
      <c r="H46" s="146">
        <f>H47+H49+H50</f>
        <v>0</v>
      </c>
      <c r="I46" s="146">
        <f>I47+I49+I50</f>
        <v>0</v>
      </c>
      <c r="J46" s="146">
        <f>J47+J49+J50</f>
        <v>0</v>
      </c>
      <c r="K46" s="146">
        <f>K47+K49+K50</f>
        <v>0</v>
      </c>
      <c r="L46" s="40" t="e">
        <f>L47+L49+L50</f>
        <v>#DIV/0!</v>
      </c>
      <c r="M46" s="32" t="e">
        <f t="shared" si="2"/>
        <v>#DIV/0!</v>
      </c>
      <c r="N46" s="176"/>
      <c r="O46" s="5"/>
    </row>
    <row r="47" spans="2:15" s="67" customFormat="1" ht="15" customHeight="1" hidden="1">
      <c r="B47" s="60" t="s">
        <v>12</v>
      </c>
      <c r="C47" s="65"/>
      <c r="D47" s="65"/>
      <c r="E47" s="65"/>
      <c r="F47" s="61"/>
      <c r="G47" s="27">
        <f t="shared" si="3"/>
        <v>0</v>
      </c>
      <c r="H47" s="27"/>
      <c r="I47" s="27"/>
      <c r="J47" s="27"/>
      <c r="K47" s="27"/>
      <c r="L47" s="66">
        <f>(H47/3*$L$23)/($H$23/3)</f>
        <v>0</v>
      </c>
      <c r="M47" s="32" t="e">
        <f t="shared" si="2"/>
        <v>#DIV/0!</v>
      </c>
      <c r="N47" s="176"/>
      <c r="O47" s="5"/>
    </row>
    <row r="48" spans="2:15" s="50" customFormat="1" ht="15" customHeight="1" hidden="1">
      <c r="B48" s="58" t="s">
        <v>13</v>
      </c>
      <c r="C48" s="52"/>
      <c r="D48" s="52"/>
      <c r="E48" s="52"/>
      <c r="F48" s="52" t="s">
        <v>14</v>
      </c>
      <c r="G48" s="27">
        <f t="shared" si="3"/>
        <v>0</v>
      </c>
      <c r="H48" s="163">
        <f>ROUND(E48*0.976*1.18,1)</f>
        <v>0</v>
      </c>
      <c r="I48" s="163">
        <f>ROUND(E48*0.976*1.18,1)</f>
        <v>0</v>
      </c>
      <c r="J48" s="163">
        <f>ROUND(E48*0.976*1.18,1)</f>
        <v>0</v>
      </c>
      <c r="K48" s="163">
        <f>ROUND(E48*0.976*1.18,1)</f>
        <v>0</v>
      </c>
      <c r="L48" s="68">
        <f>(H48/3*$L$23)/($H$23/3)</f>
        <v>0</v>
      </c>
      <c r="M48" s="32" t="e">
        <f t="shared" si="2"/>
        <v>#DIV/0!</v>
      </c>
      <c r="N48" s="180"/>
      <c r="O48" s="54"/>
    </row>
    <row r="49" spans="2:15" s="47" customFormat="1" ht="15" customHeight="1" hidden="1">
      <c r="B49" s="39" t="s">
        <v>15</v>
      </c>
      <c r="C49" s="37"/>
      <c r="D49" s="37"/>
      <c r="E49" s="37"/>
      <c r="F49" s="49"/>
      <c r="G49" s="27">
        <f t="shared" si="3"/>
        <v>0</v>
      </c>
      <c r="H49" s="27"/>
      <c r="I49" s="27"/>
      <c r="J49" s="27"/>
      <c r="K49" s="27"/>
      <c r="L49" s="46" t="e">
        <f>M49</f>
        <v>#DIV/0!</v>
      </c>
      <c r="M49" s="32" t="e">
        <f t="shared" si="2"/>
        <v>#DIV/0!</v>
      </c>
      <c r="N49" s="175"/>
      <c r="O49" s="6"/>
    </row>
    <row r="50" spans="2:15" s="50" customFormat="1" ht="15" customHeight="1" hidden="1">
      <c r="B50" s="39" t="s">
        <v>16</v>
      </c>
      <c r="C50" s="69"/>
      <c r="D50" s="69"/>
      <c r="E50" s="69"/>
      <c r="F50" s="69"/>
      <c r="G50" s="27">
        <f t="shared" si="3"/>
        <v>0</v>
      </c>
      <c r="H50" s="27"/>
      <c r="I50" s="27"/>
      <c r="J50" s="27"/>
      <c r="K50" s="27"/>
      <c r="L50" s="70" t="e">
        <f>M50</f>
        <v>#DIV/0!</v>
      </c>
      <c r="M50" s="32" t="e">
        <f t="shared" si="2"/>
        <v>#DIV/0!</v>
      </c>
      <c r="N50" s="180"/>
      <c r="O50" s="54"/>
    </row>
    <row r="51" spans="2:15" s="44" customFormat="1" ht="18" customHeight="1">
      <c r="B51" s="2" t="s">
        <v>128</v>
      </c>
      <c r="C51" s="105"/>
      <c r="D51" s="105"/>
      <c r="E51" s="105"/>
      <c r="F51" s="105"/>
      <c r="G51" s="27">
        <f t="shared" si="3"/>
        <v>4763</v>
      </c>
      <c r="H51" s="27">
        <f>SUM(H52:H55)</f>
        <v>529</v>
      </c>
      <c r="I51" s="27">
        <f>SUM(I52:I55)</f>
        <v>1588</v>
      </c>
      <c r="J51" s="27">
        <f>SUM(J52:J55)</f>
        <v>1588</v>
      </c>
      <c r="K51" s="27">
        <f>SUM(K52:K55)</f>
        <v>1058</v>
      </c>
      <c r="L51" s="46" t="e">
        <f>L52+L53+L54</f>
        <v>#DIV/0!</v>
      </c>
      <c r="M51" s="32" t="e">
        <f t="shared" si="2"/>
        <v>#DIV/0!</v>
      </c>
      <c r="N51" s="290">
        <f>N33+N36+N40</f>
        <v>144680</v>
      </c>
      <c r="O51" s="5"/>
    </row>
    <row r="52" spans="2:15" s="47" customFormat="1" ht="32.25" customHeight="1">
      <c r="B52" s="308" t="s">
        <v>150</v>
      </c>
      <c r="C52" s="309"/>
      <c r="D52" s="309"/>
      <c r="E52" s="71">
        <v>0.05</v>
      </c>
      <c r="F52" s="37"/>
      <c r="G52" s="27">
        <f t="shared" si="3"/>
        <v>3780</v>
      </c>
      <c r="H52" s="27">
        <f>H23*5%</f>
        <v>420</v>
      </c>
      <c r="I52" s="27">
        <f>I23*5%</f>
        <v>1260</v>
      </c>
      <c r="J52" s="27">
        <f>J23*5%</f>
        <v>1260</v>
      </c>
      <c r="K52" s="27">
        <f>K23*5%</f>
        <v>840</v>
      </c>
      <c r="L52" s="70" t="e">
        <f>M52</f>
        <v>#DIV/0!</v>
      </c>
      <c r="M52" s="32" t="e">
        <f t="shared" si="2"/>
        <v>#DIV/0!</v>
      </c>
      <c r="N52" s="179">
        <f>G52/G23</f>
        <v>0.05</v>
      </c>
      <c r="O52" s="6"/>
    </row>
    <row r="53" spans="2:15" s="47" customFormat="1" ht="18.75" customHeight="1">
      <c r="B53" s="39" t="s">
        <v>105</v>
      </c>
      <c r="C53" s="42"/>
      <c r="D53" s="42"/>
      <c r="E53" s="121">
        <v>0.013</v>
      </c>
      <c r="F53" s="85"/>
      <c r="G53" s="27">
        <f>SUM(H53:K53)</f>
        <v>983</v>
      </c>
      <c r="H53" s="27">
        <f>H23*1.3%</f>
        <v>109</v>
      </c>
      <c r="I53" s="27">
        <f>I23*1.3%</f>
        <v>328</v>
      </c>
      <c r="J53" s="27">
        <f>J23*1.3%</f>
        <v>328</v>
      </c>
      <c r="K53" s="27">
        <f>K23*1.3%</f>
        <v>218</v>
      </c>
      <c r="L53" s="40">
        <f>G53/7296</f>
        <v>0.1</v>
      </c>
      <c r="M53" s="32" t="e">
        <f t="shared" si="2"/>
        <v>#DIV/0!</v>
      </c>
      <c r="N53" s="179">
        <f>G53/G23</f>
        <v>0.013</v>
      </c>
      <c r="O53" s="6"/>
    </row>
    <row r="54" spans="2:15" s="47" customFormat="1" ht="15" customHeight="1" hidden="1">
      <c r="B54" s="39" t="s">
        <v>50</v>
      </c>
      <c r="C54" s="65"/>
      <c r="D54" s="65"/>
      <c r="E54" s="65"/>
      <c r="F54" s="65"/>
      <c r="G54" s="27">
        <f t="shared" si="3"/>
        <v>0</v>
      </c>
      <c r="H54" s="27"/>
      <c r="I54" s="27"/>
      <c r="J54" s="27"/>
      <c r="K54" s="27"/>
      <c r="L54" s="40">
        <f>L55</f>
        <v>0</v>
      </c>
      <c r="M54" s="32" t="e">
        <f t="shared" si="2"/>
        <v>#DIV/0!</v>
      </c>
      <c r="N54" s="175"/>
      <c r="O54" s="6"/>
    </row>
    <row r="55" spans="2:15" s="50" customFormat="1" ht="16.5" customHeight="1" hidden="1">
      <c r="B55" s="1" t="s">
        <v>101</v>
      </c>
      <c r="C55" s="72"/>
      <c r="D55" s="72"/>
      <c r="E55" s="73">
        <v>0.6</v>
      </c>
      <c r="F55" s="72"/>
      <c r="G55" s="27">
        <f t="shared" si="3"/>
        <v>0</v>
      </c>
      <c r="H55" s="27">
        <f>H23*60%-H24</f>
        <v>0</v>
      </c>
      <c r="I55" s="27">
        <f>I23*60%-I24</f>
        <v>0</v>
      </c>
      <c r="J55" s="27">
        <f>J23*60%-J24</f>
        <v>0</v>
      </c>
      <c r="K55" s="27">
        <f>K23*60%-K24</f>
        <v>0</v>
      </c>
      <c r="L55" s="74">
        <f>G55/1440</f>
        <v>0</v>
      </c>
      <c r="M55" s="32" t="e">
        <f t="shared" si="2"/>
        <v>#DIV/0!</v>
      </c>
      <c r="N55" s="180"/>
      <c r="O55" s="54"/>
    </row>
    <row r="56" spans="2:15" s="50" customFormat="1" ht="15" customHeight="1" hidden="1">
      <c r="B56" s="58"/>
      <c r="C56" s="52"/>
      <c r="D56" s="52"/>
      <c r="E56" s="52"/>
      <c r="F56" s="52"/>
      <c r="G56" s="145"/>
      <c r="H56" s="146"/>
      <c r="I56" s="146"/>
      <c r="J56" s="146"/>
      <c r="K56" s="166"/>
      <c r="L56" s="75"/>
      <c r="M56" s="32" t="e">
        <f t="shared" si="2"/>
        <v>#DIV/0!</v>
      </c>
      <c r="N56" s="180"/>
      <c r="O56" s="54"/>
    </row>
    <row r="57" spans="1:14" s="6" customFormat="1" ht="15" customHeight="1" hidden="1">
      <c r="A57" s="18"/>
      <c r="B57" s="110" t="s">
        <v>17</v>
      </c>
      <c r="C57" s="111"/>
      <c r="D57" s="111"/>
      <c r="E57" s="111"/>
      <c r="F57" s="111"/>
      <c r="G57" s="145">
        <f aca="true" t="shared" si="4" ref="G57:L57">G58+G59</f>
        <v>0</v>
      </c>
      <c r="H57" s="145">
        <f t="shared" si="4"/>
        <v>0</v>
      </c>
      <c r="I57" s="145">
        <f t="shared" si="4"/>
        <v>0</v>
      </c>
      <c r="J57" s="145">
        <f t="shared" si="4"/>
        <v>0</v>
      </c>
      <c r="K57" s="145">
        <f t="shared" si="4"/>
        <v>0</v>
      </c>
      <c r="L57" s="76" t="e">
        <f t="shared" si="4"/>
        <v>#DIV/0!</v>
      </c>
      <c r="M57" s="32" t="e">
        <f t="shared" si="2"/>
        <v>#DIV/0!</v>
      </c>
      <c r="N57" s="175"/>
    </row>
    <row r="58" spans="1:14" s="6" customFormat="1" ht="15" customHeight="1" hidden="1">
      <c r="A58" s="18"/>
      <c r="B58" s="58" t="s">
        <v>56</v>
      </c>
      <c r="C58" s="104"/>
      <c r="D58" s="104"/>
      <c r="E58" s="104"/>
      <c r="F58" s="104"/>
      <c r="G58" s="27"/>
      <c r="H58" s="27"/>
      <c r="I58" s="27"/>
      <c r="J58" s="27"/>
      <c r="K58" s="27"/>
      <c r="L58" s="76" t="e">
        <f>M58</f>
        <v>#DIV/0!</v>
      </c>
      <c r="M58" s="32" t="e">
        <f t="shared" si="2"/>
        <v>#DIV/0!</v>
      </c>
      <c r="N58" s="175"/>
    </row>
    <row r="59" spans="1:14" s="6" customFormat="1" ht="15" customHeight="1" hidden="1">
      <c r="A59" s="18"/>
      <c r="B59" s="77" t="s">
        <v>55</v>
      </c>
      <c r="C59" s="112"/>
      <c r="D59" s="112"/>
      <c r="E59" s="112"/>
      <c r="F59" s="113"/>
      <c r="G59" s="148">
        <f>SUM(H59:K59)</f>
        <v>0</v>
      </c>
      <c r="H59" s="148"/>
      <c r="I59" s="168"/>
      <c r="J59" s="148"/>
      <c r="K59" s="169"/>
      <c r="L59" s="75" t="e">
        <f>M59</f>
        <v>#DIV/0!</v>
      </c>
      <c r="M59" s="32" t="e">
        <f t="shared" si="2"/>
        <v>#DIV/0!</v>
      </c>
      <c r="N59" s="175"/>
    </row>
    <row r="60" spans="1:14" s="6" customFormat="1" ht="15" customHeight="1" hidden="1">
      <c r="A60" s="18"/>
      <c r="B60" s="114"/>
      <c r="C60" s="115"/>
      <c r="D60" s="115"/>
      <c r="E60" s="115"/>
      <c r="F60" s="115"/>
      <c r="G60" s="170">
        <f>SUM(H60:K60)</f>
        <v>0</v>
      </c>
      <c r="H60" s="170"/>
      <c r="I60" s="170"/>
      <c r="J60" s="170"/>
      <c r="K60" s="170"/>
      <c r="L60" s="78">
        <f>G60/7296</f>
        <v>0</v>
      </c>
      <c r="M60" s="32" t="e">
        <f t="shared" si="2"/>
        <v>#DIV/0!</v>
      </c>
      <c r="N60" s="175"/>
    </row>
    <row r="61" spans="1:14" s="6" customFormat="1" ht="24.75" customHeight="1">
      <c r="A61" s="18"/>
      <c r="B61" s="119" t="s">
        <v>131</v>
      </c>
      <c r="C61" s="120"/>
      <c r="D61" s="120"/>
      <c r="E61" s="120"/>
      <c r="F61" s="120"/>
      <c r="G61" s="153">
        <f>SUM(H61:K61)</f>
        <v>17917</v>
      </c>
      <c r="H61" s="153">
        <f>H68+H62</f>
        <v>1991</v>
      </c>
      <c r="I61" s="153">
        <f>I68+I62</f>
        <v>5972</v>
      </c>
      <c r="J61" s="153">
        <f>J68+J62</f>
        <v>5972</v>
      </c>
      <c r="K61" s="153">
        <f>K68+K62</f>
        <v>3982</v>
      </c>
      <c r="L61" s="79" t="e">
        <f>L68+L62</f>
        <v>#DIV/0!</v>
      </c>
      <c r="M61" s="32" t="e">
        <f t="shared" si="2"/>
        <v>#DIV/0!</v>
      </c>
      <c r="N61" s="179">
        <f>G61/G23</f>
        <v>0.237</v>
      </c>
    </row>
    <row r="62" spans="2:14" s="5" customFormat="1" ht="17.25" customHeight="1">
      <c r="B62" s="3" t="s">
        <v>108</v>
      </c>
      <c r="C62" s="80"/>
      <c r="D62" s="80"/>
      <c r="E62" s="80"/>
      <c r="F62" s="80"/>
      <c r="G62" s="171">
        <f aca="true" t="shared" si="5" ref="G62:G79">SUM(H62:K62)</f>
        <v>17917</v>
      </c>
      <c r="H62" s="171">
        <f>H63</f>
        <v>1991</v>
      </c>
      <c r="I62" s="171">
        <f>I63</f>
        <v>5972</v>
      </c>
      <c r="J62" s="171">
        <f>J63</f>
        <v>5972</v>
      </c>
      <c r="K62" s="171">
        <f>K63</f>
        <v>3982</v>
      </c>
      <c r="L62" s="81" t="e">
        <f>M62</f>
        <v>#DIV/0!</v>
      </c>
      <c r="M62" s="32" t="e">
        <f t="shared" si="2"/>
        <v>#DIV/0!</v>
      </c>
      <c r="N62" s="176"/>
    </row>
    <row r="63" spans="2:15" s="67" customFormat="1" ht="17.25" customHeight="1">
      <c r="B63" s="39" t="s">
        <v>54</v>
      </c>
      <c r="C63" s="37"/>
      <c r="D63" s="37"/>
      <c r="E63" s="37"/>
      <c r="F63" s="37"/>
      <c r="G63" s="27">
        <f>SUM(H63:K63)</f>
        <v>17917</v>
      </c>
      <c r="H63" s="27">
        <f>H23*23.7%</f>
        <v>1991</v>
      </c>
      <c r="I63" s="27">
        <f>I23*23.7%</f>
        <v>5972</v>
      </c>
      <c r="J63" s="27">
        <f>J23*23.7%</f>
        <v>5972</v>
      </c>
      <c r="K63" s="27">
        <f>K23*23.7%</f>
        <v>3982</v>
      </c>
      <c r="L63" s="81" t="e">
        <f>G63/$N$11</f>
        <v>#DIV/0!</v>
      </c>
      <c r="M63" s="32" t="e">
        <f t="shared" si="2"/>
        <v>#DIV/0!</v>
      </c>
      <c r="N63" s="176"/>
      <c r="O63" s="5"/>
    </row>
    <row r="64" spans="2:15" s="67" customFormat="1" ht="17.25" customHeight="1" hidden="1">
      <c r="B64" s="39" t="s">
        <v>18</v>
      </c>
      <c r="C64" s="37"/>
      <c r="D64" s="37"/>
      <c r="E64" s="37"/>
      <c r="F64" s="37"/>
      <c r="G64" s="27">
        <f t="shared" si="5"/>
        <v>0</v>
      </c>
      <c r="H64" s="27"/>
      <c r="I64" s="27"/>
      <c r="J64" s="27"/>
      <c r="K64" s="27"/>
      <c r="L64" s="82" t="e">
        <f>G64/$N$11</f>
        <v>#DIV/0!</v>
      </c>
      <c r="M64" s="32" t="e">
        <f t="shared" si="2"/>
        <v>#DIV/0!</v>
      </c>
      <c r="N64" s="176"/>
      <c r="O64" s="5"/>
    </row>
    <row r="65" spans="2:15" s="67" customFormat="1" ht="17.25" customHeight="1" hidden="1">
      <c r="B65" s="60" t="s">
        <v>96</v>
      </c>
      <c r="C65" s="65"/>
      <c r="D65" s="65"/>
      <c r="E65" s="65"/>
      <c r="F65" s="65"/>
      <c r="G65" s="27">
        <f t="shared" si="5"/>
        <v>0</v>
      </c>
      <c r="H65" s="27"/>
      <c r="I65" s="27"/>
      <c r="J65" s="27"/>
      <c r="K65" s="27"/>
      <c r="L65" s="82"/>
      <c r="M65" s="32"/>
      <c r="N65" s="176"/>
      <c r="O65" s="5"/>
    </row>
    <row r="66" spans="2:15" s="47" customFormat="1" ht="17.25" customHeight="1" hidden="1">
      <c r="B66" s="60" t="s">
        <v>51</v>
      </c>
      <c r="C66" s="65"/>
      <c r="D66" s="65"/>
      <c r="E66" s="65"/>
      <c r="F66" s="65"/>
      <c r="G66" s="27">
        <f t="shared" si="5"/>
        <v>0</v>
      </c>
      <c r="H66" s="27"/>
      <c r="I66" s="27"/>
      <c r="J66" s="27"/>
      <c r="K66" s="27"/>
      <c r="L66" s="82" t="e">
        <f>M66</f>
        <v>#DIV/0!</v>
      </c>
      <c r="M66" s="32" t="e">
        <f t="shared" si="2"/>
        <v>#DIV/0!</v>
      </c>
      <c r="N66" s="175"/>
      <c r="O66" s="6"/>
    </row>
    <row r="67" spans="2:15" s="47" customFormat="1" ht="17.25" customHeight="1" hidden="1">
      <c r="B67" s="39" t="s">
        <v>53</v>
      </c>
      <c r="C67" s="37"/>
      <c r="D67" s="37"/>
      <c r="E67" s="37"/>
      <c r="F67" s="37"/>
      <c r="G67" s="27">
        <f t="shared" si="5"/>
        <v>0</v>
      </c>
      <c r="H67" s="27"/>
      <c r="I67" s="27"/>
      <c r="J67" s="27"/>
      <c r="K67" s="27"/>
      <c r="L67" s="82" t="e">
        <f>G67/$N$11</f>
        <v>#DIV/0!</v>
      </c>
      <c r="M67" s="32" t="e">
        <f t="shared" si="2"/>
        <v>#DIV/0!</v>
      </c>
      <c r="N67" s="175"/>
      <c r="O67" s="6"/>
    </row>
    <row r="68" spans="2:15" s="44" customFormat="1" ht="16.5" customHeight="1" hidden="1">
      <c r="B68" s="2" t="s">
        <v>107</v>
      </c>
      <c r="C68" s="105"/>
      <c r="D68" s="105"/>
      <c r="E68" s="105"/>
      <c r="F68" s="105"/>
      <c r="G68" s="27">
        <f t="shared" si="5"/>
        <v>0</v>
      </c>
      <c r="H68" s="27"/>
      <c r="I68" s="27"/>
      <c r="J68" s="27"/>
      <c r="K68" s="27"/>
      <c r="L68" s="81" t="e">
        <f>L70+L71+L72</f>
        <v>#DIV/0!</v>
      </c>
      <c r="M68" s="32" t="e">
        <f t="shared" si="2"/>
        <v>#DIV/0!</v>
      </c>
      <c r="N68" s="176"/>
      <c r="O68" s="5"/>
    </row>
    <row r="69" spans="2:15" s="67" customFormat="1" ht="15" customHeight="1" hidden="1">
      <c r="B69" s="39" t="s">
        <v>19</v>
      </c>
      <c r="C69" s="83"/>
      <c r="D69" s="83"/>
      <c r="E69" s="83"/>
      <c r="F69" s="83"/>
      <c r="G69" s="27">
        <f t="shared" si="5"/>
        <v>0</v>
      </c>
      <c r="H69" s="27"/>
      <c r="I69" s="27"/>
      <c r="J69" s="27"/>
      <c r="K69" s="27"/>
      <c r="L69" s="82" t="e">
        <f>G69/$N$11</f>
        <v>#DIV/0!</v>
      </c>
      <c r="M69" s="32" t="e">
        <f t="shared" si="2"/>
        <v>#DIV/0!</v>
      </c>
      <c r="N69" s="176"/>
      <c r="O69" s="5"/>
    </row>
    <row r="70" spans="2:15" s="67" customFormat="1" ht="15" customHeight="1" hidden="1">
      <c r="B70" s="39" t="s">
        <v>20</v>
      </c>
      <c r="C70" s="37"/>
      <c r="D70" s="37"/>
      <c r="E70" s="37"/>
      <c r="F70" s="37"/>
      <c r="G70" s="27">
        <f t="shared" si="5"/>
        <v>0</v>
      </c>
      <c r="H70" s="27"/>
      <c r="I70" s="27"/>
      <c r="J70" s="27"/>
      <c r="K70" s="27"/>
      <c r="L70" s="82" t="e">
        <f>G70/$N$11</f>
        <v>#DIV/0!</v>
      </c>
      <c r="M70" s="32" t="e">
        <f t="shared" si="2"/>
        <v>#DIV/0!</v>
      </c>
      <c r="N70" s="176"/>
      <c r="O70" s="5"/>
    </row>
    <row r="71" spans="2:15" s="47" customFormat="1" ht="15" customHeight="1" hidden="1">
      <c r="B71" s="39" t="s">
        <v>21</v>
      </c>
      <c r="C71" s="37"/>
      <c r="D71" s="37"/>
      <c r="E71" s="37"/>
      <c r="F71" s="37"/>
      <c r="G71" s="27">
        <f t="shared" si="5"/>
        <v>0</v>
      </c>
      <c r="H71" s="27"/>
      <c r="I71" s="27"/>
      <c r="J71" s="27"/>
      <c r="K71" s="27"/>
      <c r="L71" s="82" t="e">
        <f>G71/$N$11</f>
        <v>#DIV/0!</v>
      </c>
      <c r="M71" s="32" t="e">
        <f t="shared" si="2"/>
        <v>#DIV/0!</v>
      </c>
      <c r="N71" s="175"/>
      <c r="O71" s="6"/>
    </row>
    <row r="72" spans="2:15" s="47" customFormat="1" ht="15" customHeight="1" hidden="1">
      <c r="B72" s="39" t="s">
        <v>22</v>
      </c>
      <c r="C72" s="37"/>
      <c r="D72" s="37"/>
      <c r="E72" s="37"/>
      <c r="F72" s="37"/>
      <c r="G72" s="27">
        <f t="shared" si="5"/>
        <v>0</v>
      </c>
      <c r="H72" s="27">
        <f>SUM(H73:H78)</f>
        <v>0</v>
      </c>
      <c r="I72" s="27">
        <f>SUM(I73:I78)</f>
        <v>0</v>
      </c>
      <c r="J72" s="27">
        <f>SUM(J73:J78)</f>
        <v>0</v>
      </c>
      <c r="K72" s="27">
        <f>SUM(K73:K78)</f>
        <v>0</v>
      </c>
      <c r="L72" s="76" t="e">
        <f>SUM(L73:L78)</f>
        <v>#DIV/0!</v>
      </c>
      <c r="M72" s="32" t="e">
        <f t="shared" si="2"/>
        <v>#DIV/0!</v>
      </c>
      <c r="N72" s="175"/>
      <c r="O72" s="6"/>
    </row>
    <row r="73" spans="2:15" s="47" customFormat="1" ht="15" customHeight="1" hidden="1">
      <c r="B73" s="122" t="s">
        <v>23</v>
      </c>
      <c r="C73" s="123"/>
      <c r="D73" s="123"/>
      <c r="E73" s="123"/>
      <c r="F73" s="124"/>
      <c r="G73" s="27">
        <f t="shared" si="5"/>
        <v>0</v>
      </c>
      <c r="H73" s="27"/>
      <c r="I73" s="27"/>
      <c r="J73" s="27"/>
      <c r="K73" s="27"/>
      <c r="L73" s="70" t="e">
        <f aca="true" t="shared" si="6" ref="L73:L78">M73</f>
        <v>#DIV/0!</v>
      </c>
      <c r="M73" s="32" t="e">
        <f t="shared" si="2"/>
        <v>#DIV/0!</v>
      </c>
      <c r="N73" s="175"/>
      <c r="O73" s="6"/>
    </row>
    <row r="74" spans="2:15" s="47" customFormat="1" ht="16.5" customHeight="1" hidden="1">
      <c r="B74" s="60" t="s">
        <v>24</v>
      </c>
      <c r="C74" s="65"/>
      <c r="D74" s="65"/>
      <c r="E74" s="65"/>
      <c r="F74" s="86"/>
      <c r="G74" s="166">
        <f t="shared" si="5"/>
        <v>0</v>
      </c>
      <c r="H74" s="27"/>
      <c r="I74" s="27"/>
      <c r="J74" s="27"/>
      <c r="K74" s="27"/>
      <c r="L74" s="43" t="e">
        <f t="shared" si="6"/>
        <v>#DIV/0!</v>
      </c>
      <c r="M74" s="32" t="e">
        <f t="shared" si="2"/>
        <v>#DIV/0!</v>
      </c>
      <c r="N74" s="175"/>
      <c r="O74" s="6"/>
    </row>
    <row r="75" spans="2:15" s="47" customFormat="1" ht="15" customHeight="1" hidden="1">
      <c r="B75" s="60" t="s">
        <v>25</v>
      </c>
      <c r="C75" s="65"/>
      <c r="D75" s="65"/>
      <c r="E75" s="65"/>
      <c r="F75" s="86"/>
      <c r="G75" s="27">
        <f>+H75+I75+J75+K75</f>
        <v>0</v>
      </c>
      <c r="H75" s="27"/>
      <c r="I75" s="27"/>
      <c r="J75" s="27"/>
      <c r="K75" s="27"/>
      <c r="L75" s="87" t="e">
        <f>L23-L74-L29</f>
        <v>#DIV/0!</v>
      </c>
      <c r="M75" s="8" t="e">
        <f>G78/$N$11</f>
        <v>#DIV/0!</v>
      </c>
      <c r="N75" s="175"/>
      <c r="O75" s="6"/>
    </row>
    <row r="76" spans="2:15" s="47" customFormat="1" ht="15" customHeight="1" hidden="1">
      <c r="B76" s="39" t="s">
        <v>98</v>
      </c>
      <c r="C76" s="37"/>
      <c r="D76" s="37"/>
      <c r="E76" s="37"/>
      <c r="F76" s="84"/>
      <c r="G76" s="27">
        <f t="shared" si="5"/>
        <v>0</v>
      </c>
      <c r="H76" s="27"/>
      <c r="I76" s="27"/>
      <c r="J76" s="27"/>
      <c r="K76" s="27"/>
      <c r="L76" s="82" t="e">
        <f t="shared" si="6"/>
        <v>#DIV/0!</v>
      </c>
      <c r="M76" s="8" t="e">
        <f t="shared" si="2"/>
        <v>#DIV/0!</v>
      </c>
      <c r="N76" s="175"/>
      <c r="O76" s="6"/>
    </row>
    <row r="77" spans="2:15" s="47" customFormat="1" ht="15" customHeight="1" hidden="1">
      <c r="B77" s="39" t="s">
        <v>52</v>
      </c>
      <c r="C77" s="37"/>
      <c r="D77" s="37"/>
      <c r="E77" s="37"/>
      <c r="F77" s="84"/>
      <c r="G77" s="27">
        <f t="shared" si="5"/>
        <v>0</v>
      </c>
      <c r="H77" s="27"/>
      <c r="I77" s="27"/>
      <c r="J77" s="27"/>
      <c r="K77" s="27"/>
      <c r="L77" s="46">
        <f t="shared" si="6"/>
        <v>0</v>
      </c>
      <c r="M77" s="8"/>
      <c r="N77" s="175"/>
      <c r="O77" s="6"/>
    </row>
    <row r="78" spans="2:15" s="47" customFormat="1" ht="15" customHeight="1" hidden="1">
      <c r="B78" s="39" t="s">
        <v>26</v>
      </c>
      <c r="C78" s="37"/>
      <c r="D78" s="37"/>
      <c r="E78" s="37"/>
      <c r="F78" s="84"/>
      <c r="G78" s="27">
        <f>SUM(H78:K78)</f>
        <v>0</v>
      </c>
      <c r="H78" s="27"/>
      <c r="I78" s="27"/>
      <c r="J78" s="27"/>
      <c r="K78" s="27"/>
      <c r="L78" s="82">
        <f t="shared" si="6"/>
        <v>0</v>
      </c>
      <c r="M78" s="8"/>
      <c r="N78" s="175"/>
      <c r="O78" s="6"/>
    </row>
    <row r="79" spans="2:15" s="50" customFormat="1" ht="15" customHeight="1" hidden="1">
      <c r="B79" s="1" t="s">
        <v>27</v>
      </c>
      <c r="C79" s="72"/>
      <c r="D79" s="72"/>
      <c r="E79" s="72"/>
      <c r="F79" s="72"/>
      <c r="G79" s="27">
        <f t="shared" si="5"/>
        <v>0</v>
      </c>
      <c r="H79" s="27"/>
      <c r="I79" s="27"/>
      <c r="J79" s="27"/>
      <c r="K79" s="27"/>
      <c r="L79" s="46">
        <f>G79/7296</f>
        <v>0</v>
      </c>
      <c r="M79" s="8">
        <f>G79/7296</f>
        <v>0</v>
      </c>
      <c r="N79" s="180"/>
      <c r="O79" s="54"/>
    </row>
    <row r="80" spans="2:12" ht="36.75" customHeight="1">
      <c r="B80" s="225" t="s">
        <v>156</v>
      </c>
      <c r="C80" s="225"/>
      <c r="D80" s="225"/>
      <c r="E80" s="227"/>
      <c r="F80" s="225" t="s">
        <v>157</v>
      </c>
      <c r="G80" s="226"/>
      <c r="H80" s="7"/>
      <c r="I80" s="89"/>
      <c r="J80" s="7"/>
      <c r="K80" s="7"/>
      <c r="L80" s="90"/>
    </row>
    <row r="81" spans="2:12" ht="24.75" customHeight="1">
      <c r="B81" s="6" t="s">
        <v>144</v>
      </c>
      <c r="C81" s="6"/>
      <c r="D81" s="6"/>
      <c r="E81" s="125"/>
      <c r="F81" s="144" t="s">
        <v>214</v>
      </c>
      <c r="G81" s="143"/>
      <c r="H81" s="7"/>
      <c r="I81" s="7"/>
      <c r="J81" s="7"/>
      <c r="K81" s="7"/>
      <c r="L81" s="92" t="e">
        <f>L23-L25-L30-L31-L32-L45-L46-L51-L57-L61</f>
        <v>#DIV/0!</v>
      </c>
    </row>
    <row r="82" spans="2:12" ht="24.75" customHeight="1">
      <c r="B82" s="6"/>
      <c r="C82" s="6"/>
      <c r="D82" s="6"/>
      <c r="E82" s="6"/>
      <c r="F82" s="6"/>
      <c r="G82" s="7"/>
      <c r="H82" s="7"/>
      <c r="I82" s="7"/>
      <c r="J82" s="7"/>
      <c r="K82" s="93"/>
      <c r="L82" s="92"/>
    </row>
    <row r="83" spans="2:12" ht="24.75" customHeight="1" hidden="1">
      <c r="B83" s="6"/>
      <c r="C83" s="6"/>
      <c r="D83" s="6"/>
      <c r="E83" s="6"/>
      <c r="F83" s="6"/>
      <c r="G83" s="7"/>
      <c r="H83" s="7"/>
      <c r="I83" s="7"/>
      <c r="J83" s="7"/>
      <c r="K83" s="93"/>
      <c r="L83" s="92"/>
    </row>
    <row r="84" spans="2:11" ht="18.75" customHeight="1">
      <c r="B84" s="6"/>
      <c r="C84" s="6"/>
      <c r="D84" s="6"/>
      <c r="E84" s="18"/>
      <c r="F84" s="202"/>
      <c r="H84" s="202"/>
      <c r="I84" s="94"/>
      <c r="J84" s="7"/>
      <c r="K84" s="7"/>
    </row>
    <row r="85" spans="9:11" ht="12.75" customHeight="1">
      <c r="I85" s="94"/>
      <c r="J85" s="7"/>
      <c r="K85" s="7"/>
    </row>
    <row r="86" spans="9:11" ht="18.75" customHeight="1">
      <c r="I86" s="94"/>
      <c r="J86" s="7"/>
      <c r="K86" s="7"/>
    </row>
    <row r="87" spans="9:13" ht="12.75" customHeight="1">
      <c r="I87" s="94"/>
      <c r="L87" s="95" t="e">
        <f>L25+L30+L32+L46+L51+L57+L61+L31+L27</f>
        <v>#DIV/0!</v>
      </c>
      <c r="M87" s="96" t="e">
        <f>M25+M30+M32+M46+M51+M57+M61+M31+M27</f>
        <v>#DIV/0!</v>
      </c>
    </row>
    <row r="88" ht="12.75" customHeight="1">
      <c r="I88" s="94"/>
    </row>
    <row r="89" spans="3:12" ht="12.75" customHeight="1">
      <c r="C89" s="97"/>
      <c r="L89" s="98"/>
    </row>
    <row r="90" ht="12.75" customHeight="1">
      <c r="I90" s="94"/>
    </row>
    <row r="91" ht="12.75" customHeight="1">
      <c r="I91" s="94"/>
    </row>
    <row r="92" ht="12.75" customHeight="1">
      <c r="I92" s="94"/>
    </row>
    <row r="93" ht="12.75" customHeight="1">
      <c r="I93" s="94"/>
    </row>
    <row r="94" ht="12.75" customHeight="1">
      <c r="I94" s="94"/>
    </row>
    <row r="95" ht="12.75" customHeight="1">
      <c r="I95" s="94"/>
    </row>
    <row r="96" ht="12.75" customHeight="1">
      <c r="I96" s="94"/>
    </row>
    <row r="97" ht="12.75" customHeight="1">
      <c r="I97" s="94"/>
    </row>
  </sheetData>
  <sheetProtection/>
  <mergeCells count="7">
    <mergeCell ref="P3:S3"/>
    <mergeCell ref="B52:D52"/>
    <mergeCell ref="B2:K2"/>
    <mergeCell ref="B3:K3"/>
    <mergeCell ref="N21:N22"/>
    <mergeCell ref="H21:I21"/>
    <mergeCell ref="J21:K21"/>
  </mergeCells>
  <printOptions/>
  <pageMargins left="0.5905511811023623" right="0.1968503937007874" top="0.17" bottom="0.16" header="0" footer="0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0"/>
  <sheetViews>
    <sheetView view="pageBreakPreview" zoomScale="90" zoomScaleSheetLayoutView="90" zoomScalePageLayoutView="0" workbookViewId="0" topLeftCell="A1">
      <selection activeCell="I15" sqref="I15"/>
    </sheetView>
  </sheetViews>
  <sheetFormatPr defaultColWidth="9.00390625" defaultRowHeight="12.75"/>
  <cols>
    <col min="1" max="1" width="2.375" style="6" customWidth="1"/>
    <col min="2" max="2" width="7.875" style="6" customWidth="1"/>
    <col min="3" max="3" width="53.75390625" style="6" customWidth="1"/>
    <col min="4" max="4" width="17.875" style="6" customWidth="1"/>
    <col min="5" max="5" width="4.625" style="6" customWidth="1"/>
    <col min="6" max="7" width="9.125" style="6" customWidth="1"/>
    <col min="8" max="8" width="9.375" style="6" customWidth="1"/>
    <col min="9" max="16384" width="9.125" style="6" customWidth="1"/>
  </cols>
  <sheetData>
    <row r="1" ht="15.75"/>
    <row r="2" spans="2:5" ht="15.75">
      <c r="B2" s="317" t="str">
        <f>' (смета) (3)'!C4</f>
        <v>Муниципальное бюджетное образовательное учреждение  дополнительного образования        </v>
      </c>
      <c r="C2" s="317"/>
      <c r="D2" s="317"/>
      <c r="E2" s="134"/>
    </row>
    <row r="3" spans="2:5" ht="15.75">
      <c r="B3" s="317" t="str">
        <f>' (смета) (3)'!C5</f>
        <v>"Центр дополнительного образования детей им.В.Волошиной"</v>
      </c>
      <c r="C3" s="317"/>
      <c r="D3" s="317"/>
      <c r="E3" s="134"/>
    </row>
    <row r="4" ht="15.75">
      <c r="C4" s="173"/>
    </row>
    <row r="5" spans="2:5" ht="15.75">
      <c r="B5" s="318" t="s">
        <v>152</v>
      </c>
      <c r="C5" s="318"/>
      <c r="D5" s="318"/>
      <c r="E5" s="200"/>
    </row>
    <row r="6" spans="2:5" ht="15.75">
      <c r="B6" s="200"/>
      <c r="C6" s="200" t="str">
        <f>' (смета)'!B3</f>
        <v>                 на  2023-2024 учебный год  (сентябрь -май)</v>
      </c>
      <c r="D6" s="200"/>
      <c r="E6" s="200"/>
    </row>
    <row r="7" spans="2:5" ht="15.75" customHeight="1">
      <c r="B7" s="326" t="str">
        <f>' (смета) (3)'!D6</f>
        <v>"Английский для малышей 6-8 лет"</v>
      </c>
      <c r="C7" s="318"/>
      <c r="D7" s="318"/>
      <c r="E7" s="134"/>
    </row>
    <row r="8" spans="2:6" s="5" customFormat="1" ht="15.75">
      <c r="B8" s="282"/>
      <c r="C8" s="275" t="s">
        <v>211</v>
      </c>
      <c r="D8" s="275"/>
      <c r="E8" s="202"/>
      <c r="F8" s="6"/>
    </row>
    <row r="9" spans="2:7" ht="33" customHeight="1">
      <c r="B9" s="215" t="s">
        <v>110</v>
      </c>
      <c r="C9" s="127" t="s">
        <v>111</v>
      </c>
      <c r="D9" s="127" t="s">
        <v>112</v>
      </c>
      <c r="E9" s="135"/>
      <c r="F9" s="175" t="s">
        <v>146</v>
      </c>
      <c r="G9" s="175" t="s">
        <v>147</v>
      </c>
    </row>
    <row r="10" spans="2:7" ht="23.25" customHeight="1">
      <c r="B10" s="127">
        <v>1</v>
      </c>
      <c r="C10" s="216" t="s">
        <v>113</v>
      </c>
      <c r="D10" s="217">
        <f>(' (смета) (3)'!G24/9)/29.3*F10</f>
        <v>3567.13</v>
      </c>
      <c r="E10" s="133"/>
      <c r="F10" s="218">
        <f>42/12*9</f>
        <v>31.5</v>
      </c>
      <c r="G10" s="218">
        <f>F10/9</f>
        <v>3.5</v>
      </c>
    </row>
    <row r="11" spans="2:5" ht="33" customHeight="1">
      <c r="B11" s="127">
        <v>2</v>
      </c>
      <c r="C11" s="219" t="s">
        <v>116</v>
      </c>
      <c r="D11" s="136">
        <f>D10*30.2%</f>
        <v>1077.27</v>
      </c>
      <c r="E11" s="137"/>
    </row>
    <row r="12" spans="2:5" ht="33" customHeight="1" hidden="1">
      <c r="B12" s="127">
        <v>3</v>
      </c>
      <c r="C12" s="219" t="s">
        <v>117</v>
      </c>
      <c r="D12" s="136"/>
      <c r="E12" s="137"/>
    </row>
    <row r="13" spans="2:5" ht="54" customHeight="1">
      <c r="B13" s="127">
        <v>3</v>
      </c>
      <c r="C13" s="219" t="s">
        <v>118</v>
      </c>
      <c r="D13" s="136">
        <f>D10+D11-D12</f>
        <v>4644.4</v>
      </c>
      <c r="E13" s="137"/>
    </row>
    <row r="14" spans="2:5" ht="33" customHeight="1">
      <c r="B14" s="127">
        <v>4</v>
      </c>
      <c r="C14" s="219" t="s">
        <v>114</v>
      </c>
      <c r="D14" s="141">
        <f>' (смета) (3)'!G24-D10</f>
        <v>26294.87</v>
      </c>
      <c r="E14" s="133"/>
    </row>
    <row r="15" spans="2:5" ht="33" customHeight="1">
      <c r="B15" s="127">
        <v>5</v>
      </c>
      <c r="C15" s="219" t="s">
        <v>119</v>
      </c>
      <c r="D15" s="136">
        <f>D14*30.2%-1</f>
        <v>7940.05</v>
      </c>
      <c r="E15" s="137"/>
    </row>
    <row r="16" spans="2:5" ht="33" customHeight="1">
      <c r="B16" s="127">
        <v>6</v>
      </c>
      <c r="C16" s="219" t="s">
        <v>120</v>
      </c>
      <c r="D16" s="136">
        <f>D14+D15</f>
        <v>34234.92</v>
      </c>
      <c r="E16" s="137"/>
    </row>
    <row r="17" spans="2:5" ht="33" customHeight="1">
      <c r="B17" s="127">
        <v>7</v>
      </c>
      <c r="C17" s="219" t="s">
        <v>121</v>
      </c>
      <c r="D17" s="220">
        <f>D13/D16</f>
        <v>0.1357</v>
      </c>
      <c r="E17" s="138"/>
    </row>
    <row r="18" spans="2:5" ht="49.5" customHeight="1">
      <c r="B18" s="127">
        <v>8</v>
      </c>
      <c r="C18" s="219" t="s">
        <v>122</v>
      </c>
      <c r="D18" s="139" t="s">
        <v>115</v>
      </c>
      <c r="E18" s="140"/>
    </row>
    <row r="20" spans="2:4" ht="15.75">
      <c r="B20" s="6" t="s">
        <v>216</v>
      </c>
      <c r="D20" s="7" t="str">
        <f>'калькуляция (3)'!C51</f>
        <v>А.Р. Саттарова</v>
      </c>
    </row>
  </sheetData>
  <sheetProtection/>
  <mergeCells count="4">
    <mergeCell ref="B2:D2"/>
    <mergeCell ref="B3:D3"/>
    <mergeCell ref="B5:D5"/>
    <mergeCell ref="B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Zeros="0" view="pageBreakPreview" zoomScale="90" zoomScaleNormal="80" zoomScaleSheetLayoutView="90" zoomScalePageLayoutView="0" workbookViewId="0" topLeftCell="A1">
      <selection activeCell="F8" sqref="F8"/>
    </sheetView>
  </sheetViews>
  <sheetFormatPr defaultColWidth="9.00390625" defaultRowHeight="12.75" customHeight="1"/>
  <cols>
    <col min="1" max="1" width="0.74609375" style="88" customWidth="1"/>
    <col min="2" max="2" width="13.75390625" style="88" customWidth="1"/>
    <col min="3" max="3" width="11.00390625" style="88" customWidth="1"/>
    <col min="4" max="4" width="25.875" style="88" customWidth="1"/>
    <col min="5" max="5" width="11.375" style="88" customWidth="1"/>
    <col min="6" max="6" width="13.875" style="88" customWidth="1"/>
    <col min="7" max="7" width="13.625" style="91" customWidth="1"/>
    <col min="8" max="8" width="12.25390625" style="91" customWidth="1"/>
    <col min="9" max="9" width="12.625" style="91" customWidth="1"/>
    <col min="10" max="10" width="11.625" style="91" customWidth="1"/>
    <col min="11" max="11" width="12.375" style="91" customWidth="1"/>
    <col min="12" max="12" width="11.00390625" style="88" hidden="1" customWidth="1"/>
    <col min="13" max="13" width="11.00390625" style="8" hidden="1" customWidth="1"/>
    <col min="14" max="14" width="12.875" style="175" customWidth="1"/>
    <col min="15" max="15" width="9.125" style="6" customWidth="1"/>
    <col min="16" max="16" width="11.875" style="88" customWidth="1"/>
    <col min="17" max="17" width="10.875" style="88" customWidth="1"/>
    <col min="18" max="18" width="10.75390625" style="88" customWidth="1"/>
    <col min="19" max="19" width="12.25390625" style="88" customWidth="1"/>
    <col min="20" max="20" width="17.375" style="88" customWidth="1"/>
    <col min="21" max="16384" width="9.125" style="88" customWidth="1"/>
  </cols>
  <sheetData>
    <row r="1" spans="7:14" s="6" customFormat="1" ht="12.75" customHeight="1">
      <c r="G1" s="7"/>
      <c r="H1" s="7"/>
      <c r="I1" s="7"/>
      <c r="J1" s="7"/>
      <c r="K1" s="7"/>
      <c r="M1" s="8"/>
      <c r="N1" s="175"/>
    </row>
    <row r="2" spans="2:15" s="9" customFormat="1" ht="19.5" customHeight="1">
      <c r="B2" s="310" t="s">
        <v>103</v>
      </c>
      <c r="C2" s="310"/>
      <c r="D2" s="310"/>
      <c r="E2" s="310"/>
      <c r="F2" s="310"/>
      <c r="G2" s="310"/>
      <c r="H2" s="310"/>
      <c r="I2" s="310"/>
      <c r="J2" s="310"/>
      <c r="K2" s="310"/>
      <c r="M2" s="8"/>
      <c r="N2" s="175"/>
      <c r="O2" s="6"/>
    </row>
    <row r="3" spans="2:20" s="9" customFormat="1" ht="19.5" customHeight="1">
      <c r="B3" s="310" t="str">
        <f>' (смета) (3)'!B3:K3</f>
        <v>                 на  2023-2024 учебный год  (сентябрь -май)</v>
      </c>
      <c r="C3" s="310"/>
      <c r="D3" s="310"/>
      <c r="E3" s="310"/>
      <c r="F3" s="310"/>
      <c r="G3" s="310"/>
      <c r="H3" s="310"/>
      <c r="I3" s="310"/>
      <c r="J3" s="310"/>
      <c r="K3" s="310"/>
      <c r="M3" s="8"/>
      <c r="N3" s="175"/>
      <c r="O3" s="6"/>
      <c r="P3" s="305" t="s">
        <v>148</v>
      </c>
      <c r="Q3" s="306"/>
      <c r="R3" s="306"/>
      <c r="S3" s="307"/>
      <c r="T3" s="195" t="s">
        <v>72</v>
      </c>
    </row>
    <row r="4" spans="2:20" s="6" customFormat="1" ht="16.5" customHeight="1">
      <c r="B4" s="224" t="s">
        <v>155</v>
      </c>
      <c r="C4" s="223" t="s">
        <v>153</v>
      </c>
      <c r="D4" s="10"/>
      <c r="G4" s="11"/>
      <c r="H4" s="7"/>
      <c r="I4" s="12"/>
      <c r="J4" s="12"/>
      <c r="K4" s="7"/>
      <c r="M4" s="8"/>
      <c r="N4" s="175"/>
      <c r="P4" s="192">
        <f>G19</f>
        <v>86400</v>
      </c>
      <c r="Q4" s="193">
        <f>H19+I19+J19+K19</f>
        <v>86400</v>
      </c>
      <c r="R4" s="193">
        <f>G20+G25+G57</f>
        <v>86400</v>
      </c>
      <c r="S4" s="194">
        <f>'калькуляция (4)'!D45</f>
        <v>86400</v>
      </c>
      <c r="T4" s="196">
        <f>'резерв отпускных (4)'!D11+'резерв отпускных (4)'!D12+'резерв отпускных (4)'!D15+'резерв отпускных (4)'!D16</f>
        <v>51840</v>
      </c>
    </row>
    <row r="5" spans="3:14" s="6" customFormat="1" ht="12.75" customHeight="1">
      <c r="C5" s="223" t="s">
        <v>154</v>
      </c>
      <c r="G5" s="7"/>
      <c r="H5" s="7"/>
      <c r="I5" s="7"/>
      <c r="J5" s="7"/>
      <c r="K5" s="7"/>
      <c r="M5" s="8"/>
      <c r="N5" s="175"/>
    </row>
    <row r="6" spans="2:20" s="5" customFormat="1" ht="24" customHeight="1">
      <c r="B6" s="273" t="s">
        <v>192</v>
      </c>
      <c r="C6" s="272"/>
      <c r="D6" s="276" t="s">
        <v>200</v>
      </c>
      <c r="E6" s="272"/>
      <c r="F6" s="272"/>
      <c r="G6" s="272"/>
      <c r="H6" s="272"/>
      <c r="J6" s="272"/>
      <c r="K6" s="272"/>
      <c r="M6" s="14"/>
      <c r="N6" s="176"/>
      <c r="P6" s="199">
        <f>E15-P4</f>
        <v>0</v>
      </c>
      <c r="Q6" s="199">
        <f>E15-Q4</f>
        <v>0</v>
      </c>
      <c r="R6" s="199">
        <f>E15-R4</f>
        <v>0</v>
      </c>
      <c r="S6" s="199">
        <f>E15-S4</f>
        <v>0</v>
      </c>
      <c r="T6" s="199">
        <f>G20-T4</f>
        <v>0</v>
      </c>
    </row>
    <row r="7" spans="2:14" s="6" customFormat="1" ht="18" customHeight="1">
      <c r="B7" s="277" t="s">
        <v>193</v>
      </c>
      <c r="C7" s="278"/>
      <c r="D7" s="281" t="s">
        <v>201</v>
      </c>
      <c r="E7" s="279"/>
      <c r="F7" s="279"/>
      <c r="G7" s="13"/>
      <c r="H7" s="7"/>
      <c r="I7" s="7"/>
      <c r="J7" s="7"/>
      <c r="K7" s="7"/>
      <c r="M7" s="8"/>
      <c r="N7" s="175"/>
    </row>
    <row r="8" spans="2:14" s="6" customFormat="1" ht="27" customHeight="1">
      <c r="B8" s="6" t="s">
        <v>41</v>
      </c>
      <c r="E8" s="173">
        <v>3</v>
      </c>
      <c r="F8" s="88"/>
      <c r="G8" s="7"/>
      <c r="H8" s="7"/>
      <c r="I8" s="7"/>
      <c r="J8" s="7"/>
      <c r="K8" s="7"/>
      <c r="M8" s="8"/>
      <c r="N8" s="175"/>
    </row>
    <row r="9" spans="2:15" s="6" customFormat="1" ht="18" customHeight="1">
      <c r="B9" s="6" t="s">
        <v>202</v>
      </c>
      <c r="E9" s="173">
        <v>2</v>
      </c>
      <c r="F9" s="15"/>
      <c r="G9" s="7"/>
      <c r="H9" s="7"/>
      <c r="I9" s="7"/>
      <c r="J9" s="7"/>
      <c r="K9" s="7"/>
      <c r="M9" s="8"/>
      <c r="N9" s="177"/>
      <c r="O9" s="16"/>
    </row>
    <row r="10" spans="5:14" s="6" customFormat="1" ht="18" customHeight="1">
      <c r="E10" s="173"/>
      <c r="F10" s="15"/>
      <c r="G10" s="17"/>
      <c r="H10" s="7"/>
      <c r="I10" s="7"/>
      <c r="J10" s="7"/>
      <c r="K10" s="7"/>
      <c r="M10" s="8"/>
      <c r="N10" s="175"/>
    </row>
    <row r="11" spans="2:14" s="6" customFormat="1" ht="18" customHeight="1">
      <c r="B11" s="6" t="s">
        <v>45</v>
      </c>
      <c r="E11" s="172">
        <f>G12</f>
        <v>36</v>
      </c>
      <c r="F11" s="15"/>
      <c r="G11" s="7"/>
      <c r="H11" s="7"/>
      <c r="I11" s="7"/>
      <c r="J11" s="7"/>
      <c r="K11" s="7"/>
      <c r="M11" s="8"/>
      <c r="N11" s="175"/>
    </row>
    <row r="12" spans="2:14" s="6" customFormat="1" ht="18" customHeight="1">
      <c r="B12" s="6" t="s">
        <v>94</v>
      </c>
      <c r="E12" s="173">
        <f>E9*E11</f>
        <v>72</v>
      </c>
      <c r="G12" s="27">
        <f>H12+I12+J12+K12</f>
        <v>36</v>
      </c>
      <c r="H12" s="27">
        <v>4</v>
      </c>
      <c r="I12" s="27">
        <v>12</v>
      </c>
      <c r="J12" s="27">
        <v>12</v>
      </c>
      <c r="K12" s="27">
        <v>8</v>
      </c>
      <c r="M12" s="8"/>
      <c r="N12" s="175"/>
    </row>
    <row r="13" spans="2:14" s="6" customFormat="1" ht="18" customHeight="1">
      <c r="B13" s="6" t="s">
        <v>130</v>
      </c>
      <c r="E13" s="173">
        <v>400</v>
      </c>
      <c r="F13" s="15"/>
      <c r="G13" s="89"/>
      <c r="H13" s="89"/>
      <c r="I13" s="89"/>
      <c r="J13" s="89"/>
      <c r="K13" s="89"/>
      <c r="M13" s="8"/>
      <c r="N13" s="175"/>
    </row>
    <row r="14" spans="2:14" s="6" customFormat="1" ht="21" customHeight="1">
      <c r="B14" s="6" t="s">
        <v>46</v>
      </c>
      <c r="E14" s="173">
        <f>E9*E11*E13</f>
        <v>28800</v>
      </c>
      <c r="F14" s="6" t="s">
        <v>149</v>
      </c>
      <c r="G14" s="89"/>
      <c r="H14" s="89"/>
      <c r="I14" s="89"/>
      <c r="J14" s="89"/>
      <c r="K14" s="89"/>
      <c r="M14" s="8"/>
      <c r="N14" s="175"/>
    </row>
    <row r="15" spans="1:14" s="6" customFormat="1" ht="18" customHeight="1">
      <c r="A15" s="18"/>
      <c r="B15" s="18" t="s">
        <v>47</v>
      </c>
      <c r="C15" s="19"/>
      <c r="D15" s="19"/>
      <c r="E15" s="174">
        <f>E14*E8</f>
        <v>86400</v>
      </c>
      <c r="F15" s="19"/>
      <c r="G15" s="89"/>
      <c r="H15" s="89"/>
      <c r="I15" s="89"/>
      <c r="J15" s="89"/>
      <c r="K15" s="89"/>
      <c r="L15" s="6" t="s">
        <v>1</v>
      </c>
      <c r="M15" s="8"/>
      <c r="N15" s="175"/>
    </row>
    <row r="16" spans="1:14" s="6" customFormat="1" ht="18" customHeight="1">
      <c r="A16" s="18"/>
      <c r="B16" s="18"/>
      <c r="C16" s="19"/>
      <c r="D16" s="19"/>
      <c r="E16" s="20"/>
      <c r="F16" s="19"/>
      <c r="G16" s="89"/>
      <c r="H16" s="89"/>
      <c r="I16" s="89"/>
      <c r="J16" s="89"/>
      <c r="K16" s="89"/>
      <c r="M16" s="8"/>
      <c r="N16" s="175"/>
    </row>
    <row r="17" spans="1:23" s="6" customFormat="1" ht="18" customHeight="1">
      <c r="A17" s="18"/>
      <c r="B17" s="21" t="s">
        <v>29</v>
      </c>
      <c r="C17" s="22"/>
      <c r="D17" s="22"/>
      <c r="E17" s="22"/>
      <c r="F17" s="22"/>
      <c r="G17" s="148"/>
      <c r="H17" s="312">
        <v>2023</v>
      </c>
      <c r="I17" s="313"/>
      <c r="J17" s="314">
        <v>2024</v>
      </c>
      <c r="K17" s="315"/>
      <c r="L17" s="23" t="s">
        <v>39</v>
      </c>
      <c r="M17" s="8"/>
      <c r="N17" s="311" t="s">
        <v>145</v>
      </c>
      <c r="P17" s="24"/>
      <c r="Q17" s="25"/>
      <c r="R17" s="4"/>
      <c r="S17" s="4"/>
      <c r="T17" s="25"/>
      <c r="U17" s="25"/>
      <c r="V17" s="25"/>
      <c r="W17" s="25"/>
    </row>
    <row r="18" spans="1:14" s="6" customFormat="1" ht="18" customHeight="1">
      <c r="A18" s="18"/>
      <c r="B18" s="26"/>
      <c r="C18" s="116" t="s">
        <v>43</v>
      </c>
      <c r="D18" s="18"/>
      <c r="E18" s="18"/>
      <c r="F18" s="18"/>
      <c r="G18" s="149"/>
      <c r="H18" s="27" t="s">
        <v>32</v>
      </c>
      <c r="I18" s="27" t="s">
        <v>33</v>
      </c>
      <c r="J18" s="27" t="s">
        <v>30</v>
      </c>
      <c r="K18" s="27" t="s">
        <v>31</v>
      </c>
      <c r="L18" s="28" t="s">
        <v>40</v>
      </c>
      <c r="M18" s="8"/>
      <c r="N18" s="311"/>
    </row>
    <row r="19" spans="2:23" s="25" customFormat="1" ht="30" customHeight="1">
      <c r="B19" s="29"/>
      <c r="C19" s="30"/>
      <c r="D19" s="30"/>
      <c r="E19" s="30"/>
      <c r="F19" s="30"/>
      <c r="G19" s="150">
        <f>E15</f>
        <v>86400</v>
      </c>
      <c r="H19" s="151">
        <f>E15/G12*H12</f>
        <v>9600</v>
      </c>
      <c r="I19" s="151">
        <f>E15/G12*I12</f>
        <v>28800</v>
      </c>
      <c r="J19" s="151">
        <f>E15/G12*J12</f>
        <v>28800</v>
      </c>
      <c r="K19" s="151">
        <f>E15/G12*K12</f>
        <v>19200</v>
      </c>
      <c r="L19" s="31">
        <f>E13</f>
        <v>400</v>
      </c>
      <c r="M19" s="32" t="e">
        <f>G19/N9</f>
        <v>#DIV/0!</v>
      </c>
      <c r="N19" s="178">
        <f>G19/G19</f>
        <v>1</v>
      </c>
      <c r="O19" s="5"/>
      <c r="P19" s="6"/>
      <c r="Q19" s="6"/>
      <c r="R19" s="6"/>
      <c r="S19" s="6"/>
      <c r="T19" s="6"/>
      <c r="U19" s="6"/>
      <c r="V19" s="6"/>
      <c r="W19" s="6"/>
    </row>
    <row r="20" spans="2:24" s="6" customFormat="1" ht="24.75" customHeight="1" thickBot="1">
      <c r="B20" s="101" t="s">
        <v>28</v>
      </c>
      <c r="C20" s="102"/>
      <c r="D20" s="102"/>
      <c r="E20" s="102"/>
      <c r="F20" s="102"/>
      <c r="G20" s="152">
        <f>+H20+I20+J20+K20</f>
        <v>51840</v>
      </c>
      <c r="H20" s="152">
        <f>H19*0.6</f>
        <v>5760</v>
      </c>
      <c r="I20" s="152">
        <f>I19*0.6</f>
        <v>17280</v>
      </c>
      <c r="J20" s="152">
        <f>J19*0.6</f>
        <v>17280</v>
      </c>
      <c r="K20" s="152">
        <f>K19*0.6</f>
        <v>11520</v>
      </c>
      <c r="L20" s="33"/>
      <c r="M20" s="32">
        <f>G20/8208</f>
        <v>6.32</v>
      </c>
      <c r="N20" s="179">
        <f>G20/G19</f>
        <v>0.6</v>
      </c>
      <c r="O20" s="147"/>
      <c r="X20" s="142"/>
    </row>
    <row r="21" spans="2:22" s="6" customFormat="1" ht="17.25" customHeight="1">
      <c r="B21" s="103"/>
      <c r="C21" s="34"/>
      <c r="D21" s="34"/>
      <c r="E21" s="34"/>
      <c r="F21" s="35"/>
      <c r="G21" s="27"/>
      <c r="H21" s="148">
        <v>0</v>
      </c>
      <c r="I21" s="148"/>
      <c r="J21" s="148"/>
      <c r="K21" s="148"/>
      <c r="L21" s="36" t="e">
        <f>M21</f>
        <v>#DIV/0!</v>
      </c>
      <c r="M21" s="32" t="e">
        <f>G21/N9</f>
        <v>#DIV/0!</v>
      </c>
      <c r="N21" s="179"/>
      <c r="P21" s="181" t="s">
        <v>142</v>
      </c>
      <c r="Q21" s="182"/>
      <c r="R21" s="182"/>
      <c r="S21" s="182"/>
      <c r="T21" s="183"/>
      <c r="U21" s="18"/>
      <c r="V21" s="18"/>
    </row>
    <row r="22" spans="1:24" s="6" customFormat="1" ht="17.25" customHeight="1">
      <c r="A22" s="6" t="s">
        <v>124</v>
      </c>
      <c r="B22" s="99" t="s">
        <v>132</v>
      </c>
      <c r="C22" s="37"/>
      <c r="D22" s="37"/>
      <c r="E22" s="37"/>
      <c r="F22" s="37"/>
      <c r="G22" s="27">
        <f aca="true" t="shared" si="0" ref="G22:G32">SUM(H22:K22)</f>
        <v>39816</v>
      </c>
      <c r="H22" s="27">
        <f>H20/1.302</f>
        <v>4424</v>
      </c>
      <c r="I22" s="27">
        <f>I20/1.302</f>
        <v>13272</v>
      </c>
      <c r="J22" s="27">
        <f>J20/1.302</f>
        <v>13272</v>
      </c>
      <c r="K22" s="27">
        <f>K20/1.302</f>
        <v>8848</v>
      </c>
      <c r="L22" s="38" t="e">
        <f>M22</f>
        <v>#DIV/0!</v>
      </c>
      <c r="M22" s="32" t="e">
        <f>G22/N9</f>
        <v>#DIV/0!</v>
      </c>
      <c r="N22" s="179"/>
      <c r="P22" s="184" t="s">
        <v>123</v>
      </c>
      <c r="Q22" s="185">
        <f>E13*0.546/1.302/1.1357/1.3</f>
        <v>113.61</v>
      </c>
      <c r="R22" s="186" t="s">
        <v>143</v>
      </c>
      <c r="S22" s="186"/>
      <c r="T22" s="197" t="s">
        <v>189</v>
      </c>
      <c r="U22" s="186"/>
      <c r="V22" s="186"/>
      <c r="X22" s="142"/>
    </row>
    <row r="23" spans="1:22" s="6" customFormat="1" ht="17.25" customHeight="1" hidden="1">
      <c r="A23" s="5" t="s">
        <v>125</v>
      </c>
      <c r="B23" s="39" t="s">
        <v>129</v>
      </c>
      <c r="C23" s="39"/>
      <c r="D23" s="37"/>
      <c r="E23" s="37"/>
      <c r="F23" s="37"/>
      <c r="G23" s="27">
        <f t="shared" si="0"/>
        <v>0</v>
      </c>
      <c r="H23" s="27"/>
      <c r="I23" s="27"/>
      <c r="J23" s="27"/>
      <c r="K23" s="27"/>
      <c r="L23" s="40"/>
      <c r="M23" s="32">
        <f>G23/5760</f>
        <v>0</v>
      </c>
      <c r="N23" s="179"/>
      <c r="P23" s="187"/>
      <c r="Q23" s="18"/>
      <c r="R23" s="18"/>
      <c r="S23" s="18"/>
      <c r="T23" s="188"/>
      <c r="U23" s="18"/>
      <c r="V23" s="18"/>
    </row>
    <row r="24" spans="1:22" s="6" customFormat="1" ht="17.25" customHeight="1" thickBot="1">
      <c r="A24" s="5" t="s">
        <v>125</v>
      </c>
      <c r="B24" s="100" t="s">
        <v>133</v>
      </c>
      <c r="C24" s="41"/>
      <c r="D24" s="42"/>
      <c r="E24" s="42"/>
      <c r="F24" s="42"/>
      <c r="G24" s="27">
        <f t="shared" si="0"/>
        <v>12024</v>
      </c>
      <c r="H24" s="27">
        <f>H20-H22</f>
        <v>1336</v>
      </c>
      <c r="I24" s="27">
        <f>I20-I22</f>
        <v>4008</v>
      </c>
      <c r="J24" s="27">
        <f>J20-J22</f>
        <v>4008</v>
      </c>
      <c r="K24" s="27">
        <f>K20-K22</f>
        <v>2672</v>
      </c>
      <c r="L24" s="43" t="e">
        <f>M24</f>
        <v>#DIV/0!</v>
      </c>
      <c r="M24" s="32" t="e">
        <f aca="true" t="shared" si="1" ref="M24:M32">G24/$N$9</f>
        <v>#DIV/0!</v>
      </c>
      <c r="N24" s="179"/>
      <c r="P24" s="189" t="s">
        <v>141</v>
      </c>
      <c r="Q24" s="190">
        <f>E13*0.054/1.302/1.1357/1.3</f>
        <v>11.24</v>
      </c>
      <c r="R24" s="191" t="s">
        <v>143</v>
      </c>
      <c r="S24" s="191"/>
      <c r="T24" s="198" t="s">
        <v>159</v>
      </c>
      <c r="U24" s="18"/>
      <c r="V24" s="18"/>
    </row>
    <row r="25" spans="2:16" s="6" customFormat="1" ht="24.75" customHeight="1">
      <c r="B25" s="117" t="s">
        <v>0</v>
      </c>
      <c r="C25" s="118"/>
      <c r="D25" s="118"/>
      <c r="E25" s="118"/>
      <c r="F25" s="118"/>
      <c r="G25" s="153">
        <f t="shared" si="0"/>
        <v>14083</v>
      </c>
      <c r="H25" s="152">
        <f>H26+H27+H28+H41+H42+H47</f>
        <v>1565</v>
      </c>
      <c r="I25" s="152">
        <f>I26+I27+I28+I41+I42+I47</f>
        <v>4694</v>
      </c>
      <c r="J25" s="152">
        <f>J26+J27+J28+J41+J42+J47</f>
        <v>4694</v>
      </c>
      <c r="K25" s="152">
        <f>K26+K27+K28+K41+K42+K47</f>
        <v>3130</v>
      </c>
      <c r="L25" s="201" t="e">
        <f>L26+L27+L28+L41+L42+L47</f>
        <v>#DIV/0!</v>
      </c>
      <c r="M25" s="32" t="e">
        <f t="shared" si="1"/>
        <v>#DIV/0!</v>
      </c>
      <c r="N25" s="179"/>
      <c r="P25" s="8"/>
    </row>
    <row r="26" spans="2:15" s="44" customFormat="1" ht="17.25" customHeight="1" hidden="1">
      <c r="B26" s="45" t="s">
        <v>126</v>
      </c>
      <c r="C26" s="80"/>
      <c r="D26" s="80"/>
      <c r="E26" s="80"/>
      <c r="F26" s="80"/>
      <c r="G26" s="27">
        <f t="shared" si="0"/>
        <v>0</v>
      </c>
      <c r="H26" s="27"/>
      <c r="I26" s="27"/>
      <c r="J26" s="27"/>
      <c r="K26" s="154"/>
      <c r="L26" s="46">
        <f>(H26/3*$L$19)/($H$19/3)</f>
        <v>0</v>
      </c>
      <c r="M26" s="32" t="e">
        <f t="shared" si="1"/>
        <v>#DIV/0!</v>
      </c>
      <c r="N26" s="179"/>
      <c r="O26" s="5"/>
    </row>
    <row r="27" spans="2:15" s="44" customFormat="1" ht="17.25" customHeight="1" hidden="1">
      <c r="B27" s="45" t="s">
        <v>127</v>
      </c>
      <c r="C27" s="80"/>
      <c r="D27" s="80"/>
      <c r="E27" s="80"/>
      <c r="F27" s="80"/>
      <c r="G27" s="27">
        <f t="shared" si="0"/>
        <v>0</v>
      </c>
      <c r="H27" s="27"/>
      <c r="I27" s="27"/>
      <c r="J27" s="27"/>
      <c r="K27" s="27"/>
      <c r="L27" s="46"/>
      <c r="M27" s="32" t="e">
        <f t="shared" si="1"/>
        <v>#DIV/0!</v>
      </c>
      <c r="N27" s="179"/>
      <c r="O27" s="5"/>
    </row>
    <row r="28" spans="2:15" s="44" customFormat="1" ht="17.25" customHeight="1">
      <c r="B28" s="2" t="s">
        <v>106</v>
      </c>
      <c r="C28" s="105"/>
      <c r="D28" s="105"/>
      <c r="E28" s="105"/>
      <c r="F28" s="105"/>
      <c r="G28" s="145">
        <f t="shared" si="0"/>
        <v>8640</v>
      </c>
      <c r="H28" s="27">
        <f>H29+H32+H36</f>
        <v>960</v>
      </c>
      <c r="I28" s="27">
        <f>I29+I32+I36</f>
        <v>2880</v>
      </c>
      <c r="J28" s="27">
        <f>SUM(J29:J36)</f>
        <v>2880</v>
      </c>
      <c r="K28" s="27">
        <f>SUM(K29:K36)</f>
        <v>1920</v>
      </c>
      <c r="L28" s="43" t="e">
        <f>L29+L32+L36</f>
        <v>#DIV/0!</v>
      </c>
      <c r="M28" s="32" t="e">
        <f>G28/$N$9</f>
        <v>#DIV/0!</v>
      </c>
      <c r="N28" s="179">
        <f>G28/G19</f>
        <v>0.1</v>
      </c>
      <c r="O28" s="5"/>
    </row>
    <row r="29" spans="2:15" s="47" customFormat="1" ht="17.25" customHeight="1">
      <c r="B29" s="39" t="s">
        <v>2</v>
      </c>
      <c r="C29" s="37"/>
      <c r="D29" s="37"/>
      <c r="E29" s="48">
        <v>0.065</v>
      </c>
      <c r="F29" s="49"/>
      <c r="G29" s="155">
        <f t="shared" si="0"/>
        <v>5616</v>
      </c>
      <c r="H29" s="156">
        <f>+H19*6.5%</f>
        <v>624</v>
      </c>
      <c r="I29" s="156">
        <f>+I19*6.5%</f>
        <v>1872</v>
      </c>
      <c r="J29" s="156">
        <f>+J19*6.5%</f>
        <v>1872</v>
      </c>
      <c r="K29" s="156">
        <f>+K19*6.5%</f>
        <v>1248</v>
      </c>
      <c r="L29" s="38" t="e">
        <f>M29</f>
        <v>#DIV/0!</v>
      </c>
      <c r="M29" s="32" t="e">
        <f t="shared" si="1"/>
        <v>#DIV/0!</v>
      </c>
      <c r="N29" s="179"/>
      <c r="O29" s="6"/>
    </row>
    <row r="30" spans="2:15" s="50" customFormat="1" ht="17.25" customHeight="1" hidden="1">
      <c r="B30" s="51" t="s">
        <v>3</v>
      </c>
      <c r="C30" s="52"/>
      <c r="D30" s="52" t="s">
        <v>4</v>
      </c>
      <c r="E30" s="53"/>
      <c r="F30" s="52" t="s">
        <v>5</v>
      </c>
      <c r="G30" s="157">
        <f t="shared" si="0"/>
        <v>0</v>
      </c>
      <c r="H30" s="158"/>
      <c r="I30" s="158"/>
      <c r="J30" s="158"/>
      <c r="K30" s="158"/>
      <c r="L30" s="38">
        <f>(H30/3*$L$19)/($H$19/3)</f>
        <v>0</v>
      </c>
      <c r="M30" s="32" t="e">
        <f t="shared" si="1"/>
        <v>#DIV/0!</v>
      </c>
      <c r="N30" s="180"/>
      <c r="O30" s="54"/>
    </row>
    <row r="31" spans="2:15" s="50" customFormat="1" ht="17.25" customHeight="1" hidden="1">
      <c r="B31" s="55" t="s">
        <v>6</v>
      </c>
      <c r="C31" s="56">
        <f>C30</f>
        <v>0</v>
      </c>
      <c r="D31" s="56" t="s">
        <v>7</v>
      </c>
      <c r="E31" s="57"/>
      <c r="F31" s="56"/>
      <c r="G31" s="159">
        <f t="shared" si="0"/>
        <v>0</v>
      </c>
      <c r="H31" s="158"/>
      <c r="I31" s="158"/>
      <c r="J31" s="158"/>
      <c r="K31" s="158"/>
      <c r="L31" s="38">
        <f>(H31/3*$L$19)/($H$19/3)</f>
        <v>0</v>
      </c>
      <c r="M31" s="32" t="e">
        <f t="shared" si="1"/>
        <v>#DIV/0!</v>
      </c>
      <c r="N31" s="180"/>
      <c r="O31" s="54"/>
    </row>
    <row r="32" spans="2:15" s="47" customFormat="1" ht="17.25" customHeight="1">
      <c r="B32" s="39" t="s">
        <v>8</v>
      </c>
      <c r="C32" s="37"/>
      <c r="D32" s="37"/>
      <c r="E32" s="48">
        <v>0.021</v>
      </c>
      <c r="F32" s="49"/>
      <c r="G32" s="155">
        <f t="shared" si="0"/>
        <v>1814.4</v>
      </c>
      <c r="H32" s="156">
        <f>+H19*2.1%</f>
        <v>201.6</v>
      </c>
      <c r="I32" s="156">
        <f>+I19*2.1%</f>
        <v>604.8</v>
      </c>
      <c r="J32" s="156">
        <f>+J19*2.1%</f>
        <v>604.8</v>
      </c>
      <c r="K32" s="156">
        <f>+K19*2.1%</f>
        <v>403.2</v>
      </c>
      <c r="L32" s="38" t="e">
        <f>M32</f>
        <v>#DIV/0!</v>
      </c>
      <c r="M32" s="32" t="e">
        <f t="shared" si="1"/>
        <v>#DIV/0!</v>
      </c>
      <c r="N32" s="175"/>
      <c r="O32" s="6"/>
    </row>
    <row r="33" spans="2:16" s="50" customFormat="1" ht="15.75" hidden="1">
      <c r="B33" s="58"/>
      <c r="C33" s="52"/>
      <c r="D33" s="52">
        <f>1.44*24*3</f>
        <v>103.68</v>
      </c>
      <c r="E33" s="53" t="s">
        <v>48</v>
      </c>
      <c r="F33" s="106"/>
      <c r="G33" s="160"/>
      <c r="H33" s="158"/>
      <c r="I33" s="158"/>
      <c r="J33" s="158"/>
      <c r="K33" s="158"/>
      <c r="L33" s="38">
        <f>(H33/3*$L$19)/($H$19/3)</f>
        <v>0</v>
      </c>
      <c r="M33" s="32" t="e">
        <f>F33/$N$9</f>
        <v>#DIV/0!</v>
      </c>
      <c r="N33" s="180"/>
      <c r="O33" s="54"/>
      <c r="P33" s="50">
        <v>224</v>
      </c>
    </row>
    <row r="34" spans="2:15" s="50" customFormat="1" ht="15.75" hidden="1">
      <c r="B34" s="52" t="s">
        <v>36</v>
      </c>
      <c r="C34" s="54"/>
      <c r="D34" s="52"/>
      <c r="E34" s="53"/>
      <c r="F34" s="52"/>
      <c r="G34" s="161"/>
      <c r="H34" s="158"/>
      <c r="I34" s="158"/>
      <c r="J34" s="158"/>
      <c r="K34" s="158"/>
      <c r="L34" s="38">
        <f>(H34/3*$L$19)/($H$19/3)</f>
        <v>0</v>
      </c>
      <c r="M34" s="32" t="e">
        <f aca="true" t="shared" si="2" ref="M34:M72">G34/$N$9</f>
        <v>#DIV/0!</v>
      </c>
      <c r="N34" s="180"/>
      <c r="O34" s="54"/>
    </row>
    <row r="35" spans="2:15" s="50" customFormat="1" ht="15.75" hidden="1">
      <c r="B35" s="59"/>
      <c r="C35" s="52" t="s">
        <v>37</v>
      </c>
      <c r="D35" s="52"/>
      <c r="E35" s="53"/>
      <c r="F35" s="59"/>
      <c r="G35" s="161" t="s">
        <v>38</v>
      </c>
      <c r="H35" s="158"/>
      <c r="I35" s="158"/>
      <c r="J35" s="158"/>
      <c r="K35" s="158"/>
      <c r="L35" s="38">
        <f>(H35/3*$L$19)/($H$19/3)</f>
        <v>0</v>
      </c>
      <c r="M35" s="32" t="e">
        <f t="shared" si="2"/>
        <v>#VALUE!</v>
      </c>
      <c r="N35" s="180"/>
      <c r="O35" s="54"/>
    </row>
    <row r="36" spans="2:15" s="47" customFormat="1" ht="17.25" customHeight="1">
      <c r="B36" s="60" t="s">
        <v>9</v>
      </c>
      <c r="C36" s="37"/>
      <c r="D36" s="37"/>
      <c r="E36" s="48">
        <v>0.014</v>
      </c>
      <c r="F36" s="61"/>
      <c r="G36" s="155">
        <f>SUM(H36:K36)</f>
        <v>1209.6</v>
      </c>
      <c r="H36" s="156">
        <f>+H19*1.4%</f>
        <v>134.4</v>
      </c>
      <c r="I36" s="156">
        <f>+I19*1.4%</f>
        <v>403.2</v>
      </c>
      <c r="J36" s="156">
        <f>+J19*1.4%</f>
        <v>403.2</v>
      </c>
      <c r="K36" s="156">
        <f>+K19*1.4%</f>
        <v>268.8</v>
      </c>
      <c r="L36" s="38" t="e">
        <f>M36</f>
        <v>#DIV/0!</v>
      </c>
      <c r="M36" s="32" t="e">
        <f t="shared" si="2"/>
        <v>#DIV/0!</v>
      </c>
      <c r="N36" s="175"/>
      <c r="O36" s="6"/>
    </row>
    <row r="37" spans="2:16" s="50" customFormat="1" ht="18.75" hidden="1">
      <c r="B37" s="58" t="s">
        <v>10</v>
      </c>
      <c r="C37" s="52"/>
      <c r="D37" s="52">
        <f>50</f>
        <v>50</v>
      </c>
      <c r="E37" s="52" t="s">
        <v>49</v>
      </c>
      <c r="F37" s="54"/>
      <c r="G37" s="162"/>
      <c r="H37" s="163"/>
      <c r="I37" s="163"/>
      <c r="J37" s="163"/>
      <c r="K37" s="163"/>
      <c r="L37" s="62"/>
      <c r="M37" s="32" t="e">
        <f t="shared" si="2"/>
        <v>#DIV/0!</v>
      </c>
      <c r="N37" s="180"/>
      <c r="O37" s="54"/>
      <c r="P37" s="50">
        <v>224</v>
      </c>
    </row>
    <row r="38" spans="2:16" s="50" customFormat="1" ht="18.75" hidden="1">
      <c r="B38" s="58" t="s">
        <v>11</v>
      </c>
      <c r="C38" s="52"/>
      <c r="D38" s="52">
        <f>50</f>
        <v>50</v>
      </c>
      <c r="E38" s="52" t="s">
        <v>49</v>
      </c>
      <c r="F38" s="54"/>
      <c r="G38" s="162"/>
      <c r="H38" s="163"/>
      <c r="I38" s="163"/>
      <c r="J38" s="163"/>
      <c r="K38" s="163">
        <f>H38</f>
        <v>0</v>
      </c>
      <c r="L38" s="62"/>
      <c r="M38" s="32" t="e">
        <f t="shared" si="2"/>
        <v>#DIV/0!</v>
      </c>
      <c r="N38" s="180"/>
      <c r="O38" s="54"/>
      <c r="P38" s="50">
        <v>224</v>
      </c>
    </row>
    <row r="39" spans="2:15" s="47" customFormat="1" ht="11.25" customHeight="1" hidden="1">
      <c r="B39" s="63"/>
      <c r="C39" s="18"/>
      <c r="D39" s="18"/>
      <c r="E39" s="18"/>
      <c r="F39" s="18"/>
      <c r="G39" s="164"/>
      <c r="H39" s="164"/>
      <c r="I39" s="149"/>
      <c r="J39" s="165"/>
      <c r="K39" s="165"/>
      <c r="L39" s="62"/>
      <c r="M39" s="32" t="e">
        <f t="shared" si="2"/>
        <v>#DIV/0!</v>
      </c>
      <c r="N39" s="175"/>
      <c r="O39" s="6"/>
    </row>
    <row r="40" spans="2:15" s="44" customFormat="1" ht="18.75" customHeight="1" hidden="1">
      <c r="B40" s="45" t="s">
        <v>34</v>
      </c>
      <c r="C40" s="80"/>
      <c r="D40" s="80"/>
      <c r="E40" s="80"/>
      <c r="F40" s="80"/>
      <c r="G40" s="145"/>
      <c r="H40" s="146"/>
      <c r="I40" s="146"/>
      <c r="J40" s="146"/>
      <c r="K40" s="166"/>
      <c r="L40" s="64"/>
      <c r="M40" s="32" t="e">
        <f t="shared" si="2"/>
        <v>#DIV/0!</v>
      </c>
      <c r="N40" s="176"/>
      <c r="O40" s="5"/>
    </row>
    <row r="41" spans="2:15" s="44" customFormat="1" ht="20.25" customHeight="1" hidden="1">
      <c r="B41" s="77"/>
      <c r="C41" s="107"/>
      <c r="D41" s="107"/>
      <c r="E41" s="107"/>
      <c r="F41" s="107"/>
      <c r="G41" s="27">
        <f aca="true" t="shared" si="3" ref="G41:G51">SUM(H41:K41)</f>
        <v>0</v>
      </c>
      <c r="H41" s="167"/>
      <c r="I41" s="167"/>
      <c r="J41" s="167"/>
      <c r="K41" s="167"/>
      <c r="L41" s="46">
        <f>(H41/3*$L$19)/($H$19/3)</f>
        <v>0</v>
      </c>
      <c r="M41" s="32" t="e">
        <f t="shared" si="2"/>
        <v>#DIV/0!</v>
      </c>
      <c r="N41" s="176"/>
      <c r="O41" s="5"/>
    </row>
    <row r="42" spans="2:15" s="44" customFormat="1" ht="21" customHeight="1" hidden="1">
      <c r="B42" s="108" t="s">
        <v>35</v>
      </c>
      <c r="C42" s="109"/>
      <c r="D42" s="109"/>
      <c r="E42" s="109"/>
      <c r="F42" s="109"/>
      <c r="G42" s="27">
        <f t="shared" si="3"/>
        <v>0</v>
      </c>
      <c r="H42" s="146">
        <f>H43+H45+H46</f>
        <v>0</v>
      </c>
      <c r="I42" s="146">
        <f>I43+I45+I46</f>
        <v>0</v>
      </c>
      <c r="J42" s="146">
        <f>J43+J45+J46</f>
        <v>0</v>
      </c>
      <c r="K42" s="146">
        <f>K43+K45+K46</f>
        <v>0</v>
      </c>
      <c r="L42" s="40" t="e">
        <f>L43+L45+L46</f>
        <v>#DIV/0!</v>
      </c>
      <c r="M42" s="32" t="e">
        <f t="shared" si="2"/>
        <v>#DIV/0!</v>
      </c>
      <c r="N42" s="176"/>
      <c r="O42" s="5"/>
    </row>
    <row r="43" spans="2:15" s="67" customFormat="1" ht="15" customHeight="1" hidden="1">
      <c r="B43" s="60" t="s">
        <v>12</v>
      </c>
      <c r="C43" s="65"/>
      <c r="D43" s="65"/>
      <c r="E43" s="65"/>
      <c r="F43" s="61"/>
      <c r="G43" s="27">
        <f t="shared" si="3"/>
        <v>0</v>
      </c>
      <c r="H43" s="27"/>
      <c r="I43" s="27"/>
      <c r="J43" s="27"/>
      <c r="K43" s="27"/>
      <c r="L43" s="66">
        <f>(H43/3*$L$19)/($H$19/3)</f>
        <v>0</v>
      </c>
      <c r="M43" s="32" t="e">
        <f t="shared" si="2"/>
        <v>#DIV/0!</v>
      </c>
      <c r="N43" s="176"/>
      <c r="O43" s="5"/>
    </row>
    <row r="44" spans="2:15" s="50" customFormat="1" ht="15" customHeight="1" hidden="1">
      <c r="B44" s="58" t="s">
        <v>13</v>
      </c>
      <c r="C44" s="52"/>
      <c r="D44" s="52"/>
      <c r="E44" s="52"/>
      <c r="F44" s="52" t="s">
        <v>14</v>
      </c>
      <c r="G44" s="27">
        <f t="shared" si="3"/>
        <v>0</v>
      </c>
      <c r="H44" s="163">
        <f>ROUND(E44*0.976*1.18,1)</f>
        <v>0</v>
      </c>
      <c r="I44" s="163">
        <f>ROUND(E44*0.976*1.18,1)</f>
        <v>0</v>
      </c>
      <c r="J44" s="163">
        <f>ROUND(E44*0.976*1.18,1)</f>
        <v>0</v>
      </c>
      <c r="K44" s="163">
        <f>ROUND(E44*0.976*1.18,1)</f>
        <v>0</v>
      </c>
      <c r="L44" s="68">
        <f>(H44/3*$L$19)/($H$19/3)</f>
        <v>0</v>
      </c>
      <c r="M44" s="32" t="e">
        <f t="shared" si="2"/>
        <v>#DIV/0!</v>
      </c>
      <c r="N44" s="180"/>
      <c r="O44" s="54"/>
    </row>
    <row r="45" spans="2:15" s="47" customFormat="1" ht="15" customHeight="1" hidden="1">
      <c r="B45" s="39" t="s">
        <v>15</v>
      </c>
      <c r="C45" s="37"/>
      <c r="D45" s="37"/>
      <c r="E45" s="37"/>
      <c r="F45" s="49"/>
      <c r="G45" s="27">
        <f t="shared" si="3"/>
        <v>0</v>
      </c>
      <c r="H45" s="27"/>
      <c r="I45" s="27"/>
      <c r="J45" s="27"/>
      <c r="K45" s="27"/>
      <c r="L45" s="46" t="e">
        <f>M45</f>
        <v>#DIV/0!</v>
      </c>
      <c r="M45" s="32" t="e">
        <f t="shared" si="2"/>
        <v>#DIV/0!</v>
      </c>
      <c r="N45" s="175"/>
      <c r="O45" s="6"/>
    </row>
    <row r="46" spans="2:15" s="50" customFormat="1" ht="15" customHeight="1" hidden="1">
      <c r="B46" s="39" t="s">
        <v>16</v>
      </c>
      <c r="C46" s="69"/>
      <c r="D46" s="69"/>
      <c r="E46" s="69"/>
      <c r="F46" s="69"/>
      <c r="G46" s="27">
        <f t="shared" si="3"/>
        <v>0</v>
      </c>
      <c r="H46" s="27"/>
      <c r="I46" s="27"/>
      <c r="J46" s="27"/>
      <c r="K46" s="27"/>
      <c r="L46" s="70" t="e">
        <f>M46</f>
        <v>#DIV/0!</v>
      </c>
      <c r="M46" s="32" t="e">
        <f t="shared" si="2"/>
        <v>#DIV/0!</v>
      </c>
      <c r="N46" s="180"/>
      <c r="O46" s="54"/>
    </row>
    <row r="47" spans="2:15" s="44" customFormat="1" ht="18" customHeight="1">
      <c r="B47" s="2" t="s">
        <v>128</v>
      </c>
      <c r="C47" s="105"/>
      <c r="D47" s="105"/>
      <c r="E47" s="105"/>
      <c r="F47" s="105"/>
      <c r="G47" s="27">
        <f t="shared" si="3"/>
        <v>5443</v>
      </c>
      <c r="H47" s="27">
        <f>SUM(H48:H51)</f>
        <v>605</v>
      </c>
      <c r="I47" s="27">
        <f>SUM(I48:I51)</f>
        <v>1814</v>
      </c>
      <c r="J47" s="27">
        <f>SUM(J48:J51)</f>
        <v>1814</v>
      </c>
      <c r="K47" s="27">
        <f>SUM(K48:K51)</f>
        <v>1210</v>
      </c>
      <c r="L47" s="46" t="e">
        <f>L48+L49+L50</f>
        <v>#DIV/0!</v>
      </c>
      <c r="M47" s="32" t="e">
        <f t="shared" si="2"/>
        <v>#DIV/0!</v>
      </c>
      <c r="N47" s="176"/>
      <c r="O47" s="5"/>
    </row>
    <row r="48" spans="2:15" s="47" customFormat="1" ht="32.25" customHeight="1">
      <c r="B48" s="308" t="s">
        <v>150</v>
      </c>
      <c r="C48" s="309"/>
      <c r="D48" s="309"/>
      <c r="E48" s="71">
        <v>0.05</v>
      </c>
      <c r="F48" s="37"/>
      <c r="G48" s="27">
        <f t="shared" si="3"/>
        <v>4320</v>
      </c>
      <c r="H48" s="27">
        <f>H19*5%</f>
        <v>480</v>
      </c>
      <c r="I48" s="27">
        <f>I19*5%</f>
        <v>1440</v>
      </c>
      <c r="J48" s="27">
        <f>J19*5%</f>
        <v>1440</v>
      </c>
      <c r="K48" s="27">
        <f>K19*5%</f>
        <v>960</v>
      </c>
      <c r="L48" s="70" t="e">
        <f>M48</f>
        <v>#DIV/0!</v>
      </c>
      <c r="M48" s="32" t="e">
        <f t="shared" si="2"/>
        <v>#DIV/0!</v>
      </c>
      <c r="N48" s="179">
        <f>G48/G19</f>
        <v>0.05</v>
      </c>
      <c r="O48" s="6"/>
    </row>
    <row r="49" spans="2:15" s="47" customFormat="1" ht="18.75" customHeight="1">
      <c r="B49" s="39" t="s">
        <v>105</v>
      </c>
      <c r="C49" s="42"/>
      <c r="D49" s="42"/>
      <c r="E49" s="121">
        <v>0.013</v>
      </c>
      <c r="F49" s="85"/>
      <c r="G49" s="27">
        <f>SUM(H49:K49)</f>
        <v>1123</v>
      </c>
      <c r="H49" s="27">
        <f>H19*1.3%</f>
        <v>125</v>
      </c>
      <c r="I49" s="27">
        <f>I19*1.3%</f>
        <v>374</v>
      </c>
      <c r="J49" s="27">
        <f>J19*1.3%</f>
        <v>374</v>
      </c>
      <c r="K49" s="27">
        <f>K19*1.3%</f>
        <v>250</v>
      </c>
      <c r="L49" s="40">
        <f>G49/7296</f>
        <v>0.2</v>
      </c>
      <c r="M49" s="32" t="e">
        <f t="shared" si="2"/>
        <v>#DIV/0!</v>
      </c>
      <c r="N49" s="179">
        <f>G49/G19</f>
        <v>0.013</v>
      </c>
      <c r="O49" s="6"/>
    </row>
    <row r="50" spans="2:15" s="47" customFormat="1" ht="15" customHeight="1" hidden="1">
      <c r="B50" s="39" t="s">
        <v>50</v>
      </c>
      <c r="C50" s="65"/>
      <c r="D50" s="65"/>
      <c r="E50" s="65"/>
      <c r="F50" s="65"/>
      <c r="G50" s="27">
        <f t="shared" si="3"/>
        <v>0</v>
      </c>
      <c r="H50" s="27"/>
      <c r="I50" s="27"/>
      <c r="J50" s="27"/>
      <c r="K50" s="27"/>
      <c r="L50" s="40">
        <f>L51</f>
        <v>0</v>
      </c>
      <c r="M50" s="32" t="e">
        <f t="shared" si="2"/>
        <v>#DIV/0!</v>
      </c>
      <c r="N50" s="175"/>
      <c r="O50" s="6"/>
    </row>
    <row r="51" spans="2:15" s="50" customFormat="1" ht="16.5" customHeight="1" hidden="1">
      <c r="B51" s="1" t="s">
        <v>101</v>
      </c>
      <c r="C51" s="72"/>
      <c r="D51" s="72"/>
      <c r="E51" s="73">
        <v>0.6</v>
      </c>
      <c r="F51" s="72"/>
      <c r="G51" s="27">
        <f t="shared" si="3"/>
        <v>0</v>
      </c>
      <c r="H51" s="27">
        <f>H19*60%-H20</f>
        <v>0</v>
      </c>
      <c r="I51" s="27">
        <f>I19*60%-I20</f>
        <v>0</v>
      </c>
      <c r="J51" s="27">
        <f>J19*60%-J20</f>
        <v>0</v>
      </c>
      <c r="K51" s="27">
        <f>K19*60%-K20</f>
        <v>0</v>
      </c>
      <c r="L51" s="74">
        <f>G51/1440</f>
        <v>0</v>
      </c>
      <c r="M51" s="32" t="e">
        <f t="shared" si="2"/>
        <v>#DIV/0!</v>
      </c>
      <c r="N51" s="180"/>
      <c r="O51" s="54"/>
    </row>
    <row r="52" spans="2:15" s="50" customFormat="1" ht="15" customHeight="1" hidden="1">
      <c r="B52" s="58"/>
      <c r="C52" s="52"/>
      <c r="D52" s="52"/>
      <c r="E52" s="52"/>
      <c r="F52" s="52"/>
      <c r="G52" s="145"/>
      <c r="H52" s="146"/>
      <c r="I52" s="146"/>
      <c r="J52" s="146"/>
      <c r="K52" s="166"/>
      <c r="L52" s="75"/>
      <c r="M52" s="32" t="e">
        <f t="shared" si="2"/>
        <v>#DIV/0!</v>
      </c>
      <c r="N52" s="180"/>
      <c r="O52" s="54"/>
    </row>
    <row r="53" spans="1:14" s="6" customFormat="1" ht="15" customHeight="1" hidden="1">
      <c r="A53" s="18"/>
      <c r="B53" s="110" t="s">
        <v>17</v>
      </c>
      <c r="C53" s="111"/>
      <c r="D53" s="111"/>
      <c r="E53" s="111"/>
      <c r="F53" s="111"/>
      <c r="G53" s="145">
        <f aca="true" t="shared" si="4" ref="G53:L53">G54+G55</f>
        <v>0</v>
      </c>
      <c r="H53" s="145">
        <f t="shared" si="4"/>
        <v>0</v>
      </c>
      <c r="I53" s="145">
        <f t="shared" si="4"/>
        <v>0</v>
      </c>
      <c r="J53" s="145">
        <f t="shared" si="4"/>
        <v>0</v>
      </c>
      <c r="K53" s="145">
        <f t="shared" si="4"/>
        <v>0</v>
      </c>
      <c r="L53" s="76" t="e">
        <f t="shared" si="4"/>
        <v>#DIV/0!</v>
      </c>
      <c r="M53" s="32" t="e">
        <f t="shared" si="2"/>
        <v>#DIV/0!</v>
      </c>
      <c r="N53" s="175"/>
    </row>
    <row r="54" spans="1:14" s="6" customFormat="1" ht="15" customHeight="1" hidden="1">
      <c r="A54" s="18"/>
      <c r="B54" s="58" t="s">
        <v>56</v>
      </c>
      <c r="C54" s="104"/>
      <c r="D54" s="104"/>
      <c r="E54" s="104"/>
      <c r="F54" s="104"/>
      <c r="G54" s="27"/>
      <c r="H54" s="27"/>
      <c r="I54" s="27"/>
      <c r="J54" s="27"/>
      <c r="K54" s="27"/>
      <c r="L54" s="76" t="e">
        <f>M54</f>
        <v>#DIV/0!</v>
      </c>
      <c r="M54" s="32" t="e">
        <f t="shared" si="2"/>
        <v>#DIV/0!</v>
      </c>
      <c r="N54" s="175"/>
    </row>
    <row r="55" spans="1:14" s="6" customFormat="1" ht="15" customHeight="1" hidden="1">
      <c r="A55" s="18"/>
      <c r="B55" s="77" t="s">
        <v>55</v>
      </c>
      <c r="C55" s="112"/>
      <c r="D55" s="112"/>
      <c r="E55" s="112"/>
      <c r="F55" s="113"/>
      <c r="G55" s="148">
        <f>SUM(H55:K55)</f>
        <v>0</v>
      </c>
      <c r="H55" s="148"/>
      <c r="I55" s="168"/>
      <c r="J55" s="148"/>
      <c r="K55" s="169"/>
      <c r="L55" s="75" t="e">
        <f>M55</f>
        <v>#DIV/0!</v>
      </c>
      <c r="M55" s="32" t="e">
        <f t="shared" si="2"/>
        <v>#DIV/0!</v>
      </c>
      <c r="N55" s="175"/>
    </row>
    <row r="56" spans="1:14" s="6" customFormat="1" ht="15" customHeight="1" hidden="1">
      <c r="A56" s="18"/>
      <c r="B56" s="114"/>
      <c r="C56" s="115"/>
      <c r="D56" s="115"/>
      <c r="E56" s="115"/>
      <c r="F56" s="115"/>
      <c r="G56" s="170">
        <f>SUM(H56:K56)</f>
        <v>0</v>
      </c>
      <c r="H56" s="170"/>
      <c r="I56" s="170"/>
      <c r="J56" s="170"/>
      <c r="K56" s="170"/>
      <c r="L56" s="78">
        <f>G56/7296</f>
        <v>0</v>
      </c>
      <c r="M56" s="32" t="e">
        <f t="shared" si="2"/>
        <v>#DIV/0!</v>
      </c>
      <c r="N56" s="175"/>
    </row>
    <row r="57" spans="1:14" s="6" customFormat="1" ht="24.75" customHeight="1">
      <c r="A57" s="18"/>
      <c r="B57" s="119" t="s">
        <v>131</v>
      </c>
      <c r="C57" s="120"/>
      <c r="D57" s="120"/>
      <c r="E57" s="120"/>
      <c r="F57" s="120"/>
      <c r="G57" s="153">
        <f>SUM(H57:K57)</f>
        <v>20477</v>
      </c>
      <c r="H57" s="153">
        <f>H64+H58</f>
        <v>2275</v>
      </c>
      <c r="I57" s="153">
        <f>I64+I58</f>
        <v>6826</v>
      </c>
      <c r="J57" s="153">
        <f>J64+J58</f>
        <v>6826</v>
      </c>
      <c r="K57" s="153">
        <f>K64+K58</f>
        <v>4550</v>
      </c>
      <c r="L57" s="79" t="e">
        <f>L64+L58</f>
        <v>#DIV/0!</v>
      </c>
      <c r="M57" s="32" t="e">
        <f t="shared" si="2"/>
        <v>#DIV/0!</v>
      </c>
      <c r="N57" s="179">
        <f>G57/G19</f>
        <v>0.237</v>
      </c>
    </row>
    <row r="58" spans="2:14" s="5" customFormat="1" ht="17.25" customHeight="1">
      <c r="B58" s="3" t="s">
        <v>108</v>
      </c>
      <c r="C58" s="80"/>
      <c r="D58" s="80"/>
      <c r="E58" s="80"/>
      <c r="F58" s="80"/>
      <c r="G58" s="171">
        <f aca="true" t="shared" si="5" ref="G58:G75">SUM(H58:K58)</f>
        <v>20477</v>
      </c>
      <c r="H58" s="171">
        <f>H59</f>
        <v>2275</v>
      </c>
      <c r="I58" s="171">
        <f>I59</f>
        <v>6826</v>
      </c>
      <c r="J58" s="171">
        <f>J59</f>
        <v>6826</v>
      </c>
      <c r="K58" s="171">
        <f>K59</f>
        <v>4550</v>
      </c>
      <c r="L58" s="81" t="e">
        <f>M58</f>
        <v>#DIV/0!</v>
      </c>
      <c r="M58" s="32" t="e">
        <f t="shared" si="2"/>
        <v>#DIV/0!</v>
      </c>
      <c r="N58" s="176"/>
    </row>
    <row r="59" spans="2:15" s="67" customFormat="1" ht="17.25" customHeight="1">
      <c r="B59" s="39" t="s">
        <v>54</v>
      </c>
      <c r="C59" s="37"/>
      <c r="D59" s="37"/>
      <c r="E59" s="37"/>
      <c r="F59" s="37"/>
      <c r="G59" s="27">
        <f>SUM(H59:K59)</f>
        <v>20477</v>
      </c>
      <c r="H59" s="27">
        <f>H19*23.7%</f>
        <v>2275</v>
      </c>
      <c r="I59" s="27">
        <f>I19*23.7%</f>
        <v>6826</v>
      </c>
      <c r="J59" s="27">
        <f>J19*23.7%</f>
        <v>6826</v>
      </c>
      <c r="K59" s="27">
        <f>K19*23.7%</f>
        <v>4550</v>
      </c>
      <c r="L59" s="81" t="e">
        <f>G59/$N$9</f>
        <v>#DIV/0!</v>
      </c>
      <c r="M59" s="32" t="e">
        <f t="shared" si="2"/>
        <v>#DIV/0!</v>
      </c>
      <c r="N59" s="176"/>
      <c r="O59" s="5"/>
    </row>
    <row r="60" spans="2:15" s="67" customFormat="1" ht="17.25" customHeight="1" hidden="1">
      <c r="B60" s="39" t="s">
        <v>18</v>
      </c>
      <c r="C60" s="37"/>
      <c r="D60" s="37"/>
      <c r="E60" s="37"/>
      <c r="F60" s="37"/>
      <c r="G60" s="27">
        <f t="shared" si="5"/>
        <v>0</v>
      </c>
      <c r="H60" s="27"/>
      <c r="I60" s="27"/>
      <c r="J60" s="27"/>
      <c r="K60" s="27"/>
      <c r="L60" s="82" t="e">
        <f>G60/$N$9</f>
        <v>#DIV/0!</v>
      </c>
      <c r="M60" s="32" t="e">
        <f t="shared" si="2"/>
        <v>#DIV/0!</v>
      </c>
      <c r="N60" s="176"/>
      <c r="O60" s="5"/>
    </row>
    <row r="61" spans="2:15" s="67" customFormat="1" ht="17.25" customHeight="1" hidden="1">
      <c r="B61" s="60" t="s">
        <v>96</v>
      </c>
      <c r="C61" s="65"/>
      <c r="D61" s="65"/>
      <c r="E61" s="65"/>
      <c r="F61" s="65"/>
      <c r="G61" s="27">
        <f t="shared" si="5"/>
        <v>0</v>
      </c>
      <c r="H61" s="27"/>
      <c r="I61" s="27"/>
      <c r="J61" s="27"/>
      <c r="K61" s="27"/>
      <c r="L61" s="82"/>
      <c r="M61" s="32"/>
      <c r="N61" s="176"/>
      <c r="O61" s="5"/>
    </row>
    <row r="62" spans="2:15" s="47" customFormat="1" ht="17.25" customHeight="1" hidden="1">
      <c r="B62" s="60" t="s">
        <v>51</v>
      </c>
      <c r="C62" s="65"/>
      <c r="D62" s="65"/>
      <c r="E62" s="65"/>
      <c r="F62" s="65"/>
      <c r="G62" s="27">
        <f t="shared" si="5"/>
        <v>0</v>
      </c>
      <c r="H62" s="27"/>
      <c r="I62" s="27"/>
      <c r="J62" s="27"/>
      <c r="K62" s="27"/>
      <c r="L62" s="82" t="e">
        <f>M62</f>
        <v>#DIV/0!</v>
      </c>
      <c r="M62" s="32" t="e">
        <f t="shared" si="2"/>
        <v>#DIV/0!</v>
      </c>
      <c r="N62" s="175"/>
      <c r="O62" s="6"/>
    </row>
    <row r="63" spans="2:15" s="47" customFormat="1" ht="17.25" customHeight="1" hidden="1">
      <c r="B63" s="39" t="s">
        <v>53</v>
      </c>
      <c r="C63" s="37"/>
      <c r="D63" s="37"/>
      <c r="E63" s="37"/>
      <c r="F63" s="37"/>
      <c r="G63" s="27">
        <f t="shared" si="5"/>
        <v>0</v>
      </c>
      <c r="H63" s="27"/>
      <c r="I63" s="27"/>
      <c r="J63" s="27"/>
      <c r="K63" s="27"/>
      <c r="L63" s="82" t="e">
        <f>G63/$N$9</f>
        <v>#DIV/0!</v>
      </c>
      <c r="M63" s="32" t="e">
        <f t="shared" si="2"/>
        <v>#DIV/0!</v>
      </c>
      <c r="N63" s="175"/>
      <c r="O63" s="6"/>
    </row>
    <row r="64" spans="2:15" s="44" customFormat="1" ht="16.5" customHeight="1" hidden="1">
      <c r="B64" s="2" t="s">
        <v>107</v>
      </c>
      <c r="C64" s="105"/>
      <c r="D64" s="105"/>
      <c r="E64" s="105"/>
      <c r="F64" s="105"/>
      <c r="G64" s="27">
        <f t="shared" si="5"/>
        <v>0</v>
      </c>
      <c r="H64" s="27"/>
      <c r="I64" s="27"/>
      <c r="J64" s="27"/>
      <c r="K64" s="27"/>
      <c r="L64" s="81" t="e">
        <f>L66+L67+L68</f>
        <v>#DIV/0!</v>
      </c>
      <c r="M64" s="32" t="e">
        <f t="shared" si="2"/>
        <v>#DIV/0!</v>
      </c>
      <c r="N64" s="176"/>
      <c r="O64" s="5"/>
    </row>
    <row r="65" spans="2:15" s="67" customFormat="1" ht="15" customHeight="1" hidden="1">
      <c r="B65" s="39" t="s">
        <v>19</v>
      </c>
      <c r="C65" s="83"/>
      <c r="D65" s="83"/>
      <c r="E65" s="83"/>
      <c r="F65" s="83"/>
      <c r="G65" s="27">
        <f t="shared" si="5"/>
        <v>0</v>
      </c>
      <c r="H65" s="27"/>
      <c r="I65" s="27"/>
      <c r="J65" s="27"/>
      <c r="K65" s="27"/>
      <c r="L65" s="82" t="e">
        <f>G65/$N$9</f>
        <v>#DIV/0!</v>
      </c>
      <c r="M65" s="32" t="e">
        <f t="shared" si="2"/>
        <v>#DIV/0!</v>
      </c>
      <c r="N65" s="176"/>
      <c r="O65" s="5"/>
    </row>
    <row r="66" spans="2:15" s="67" customFormat="1" ht="15" customHeight="1" hidden="1">
      <c r="B66" s="39" t="s">
        <v>20</v>
      </c>
      <c r="C66" s="37"/>
      <c r="D66" s="37"/>
      <c r="E66" s="37"/>
      <c r="F66" s="37"/>
      <c r="G66" s="27">
        <f t="shared" si="5"/>
        <v>0</v>
      </c>
      <c r="H66" s="27"/>
      <c r="I66" s="27"/>
      <c r="J66" s="27"/>
      <c r="K66" s="27"/>
      <c r="L66" s="82" t="e">
        <f>G66/$N$9</f>
        <v>#DIV/0!</v>
      </c>
      <c r="M66" s="32" t="e">
        <f t="shared" si="2"/>
        <v>#DIV/0!</v>
      </c>
      <c r="N66" s="176"/>
      <c r="O66" s="5"/>
    </row>
    <row r="67" spans="2:15" s="47" customFormat="1" ht="15" customHeight="1" hidden="1">
      <c r="B67" s="39" t="s">
        <v>21</v>
      </c>
      <c r="C67" s="37"/>
      <c r="D67" s="37"/>
      <c r="E67" s="37"/>
      <c r="F67" s="37"/>
      <c r="G67" s="27">
        <f t="shared" si="5"/>
        <v>0</v>
      </c>
      <c r="H67" s="27"/>
      <c r="I67" s="27"/>
      <c r="J67" s="27"/>
      <c r="K67" s="27"/>
      <c r="L67" s="82" t="e">
        <f>G67/$N$9</f>
        <v>#DIV/0!</v>
      </c>
      <c r="M67" s="32" t="e">
        <f t="shared" si="2"/>
        <v>#DIV/0!</v>
      </c>
      <c r="N67" s="175"/>
      <c r="O67" s="6"/>
    </row>
    <row r="68" spans="2:15" s="47" customFormat="1" ht="15" customHeight="1" hidden="1">
      <c r="B68" s="39" t="s">
        <v>22</v>
      </c>
      <c r="C68" s="37"/>
      <c r="D68" s="37"/>
      <c r="E68" s="37"/>
      <c r="F68" s="37"/>
      <c r="G68" s="27">
        <f t="shared" si="5"/>
        <v>0</v>
      </c>
      <c r="H68" s="27">
        <f>SUM(H69:H74)</f>
        <v>0</v>
      </c>
      <c r="I68" s="27">
        <f>SUM(I69:I74)</f>
        <v>0</v>
      </c>
      <c r="J68" s="27">
        <f>SUM(J69:J74)</f>
        <v>0</v>
      </c>
      <c r="K68" s="27">
        <f>SUM(K69:K74)</f>
        <v>0</v>
      </c>
      <c r="L68" s="76" t="e">
        <f>SUM(L69:L74)</f>
        <v>#DIV/0!</v>
      </c>
      <c r="M68" s="32" t="e">
        <f t="shared" si="2"/>
        <v>#DIV/0!</v>
      </c>
      <c r="N68" s="175"/>
      <c r="O68" s="6"/>
    </row>
    <row r="69" spans="2:15" s="47" customFormat="1" ht="15" customHeight="1" hidden="1">
      <c r="B69" s="122" t="s">
        <v>23</v>
      </c>
      <c r="C69" s="123"/>
      <c r="D69" s="123"/>
      <c r="E69" s="123"/>
      <c r="F69" s="124"/>
      <c r="G69" s="27">
        <f t="shared" si="5"/>
        <v>0</v>
      </c>
      <c r="H69" s="27"/>
      <c r="I69" s="27"/>
      <c r="J69" s="27"/>
      <c r="K69" s="27"/>
      <c r="L69" s="70" t="e">
        <f aca="true" t="shared" si="6" ref="L69:L74">M69</f>
        <v>#DIV/0!</v>
      </c>
      <c r="M69" s="32" t="e">
        <f t="shared" si="2"/>
        <v>#DIV/0!</v>
      </c>
      <c r="N69" s="175"/>
      <c r="O69" s="6"/>
    </row>
    <row r="70" spans="2:15" s="47" customFormat="1" ht="16.5" customHeight="1" hidden="1">
      <c r="B70" s="60" t="s">
        <v>24</v>
      </c>
      <c r="C70" s="65"/>
      <c r="D70" s="65"/>
      <c r="E70" s="65"/>
      <c r="F70" s="86"/>
      <c r="G70" s="166">
        <f t="shared" si="5"/>
        <v>0</v>
      </c>
      <c r="H70" s="27"/>
      <c r="I70" s="27"/>
      <c r="J70" s="27"/>
      <c r="K70" s="27"/>
      <c r="L70" s="43" t="e">
        <f t="shared" si="6"/>
        <v>#DIV/0!</v>
      </c>
      <c r="M70" s="32" t="e">
        <f t="shared" si="2"/>
        <v>#DIV/0!</v>
      </c>
      <c r="N70" s="175"/>
      <c r="O70" s="6"/>
    </row>
    <row r="71" spans="2:15" s="47" customFormat="1" ht="15" customHeight="1" hidden="1">
      <c r="B71" s="60" t="s">
        <v>25</v>
      </c>
      <c r="C71" s="65"/>
      <c r="D71" s="65"/>
      <c r="E71" s="65"/>
      <c r="F71" s="86"/>
      <c r="G71" s="27">
        <f>+H71+I71+J71+K71</f>
        <v>0</v>
      </c>
      <c r="H71" s="27"/>
      <c r="I71" s="27"/>
      <c r="J71" s="27"/>
      <c r="K71" s="27"/>
      <c r="L71" s="87" t="e">
        <f>L19-L70-L25</f>
        <v>#DIV/0!</v>
      </c>
      <c r="M71" s="8" t="e">
        <f>G74/$N$9</f>
        <v>#DIV/0!</v>
      </c>
      <c r="N71" s="175"/>
      <c r="O71" s="6"/>
    </row>
    <row r="72" spans="2:15" s="47" customFormat="1" ht="15" customHeight="1" hidden="1">
      <c r="B72" s="39" t="s">
        <v>98</v>
      </c>
      <c r="C72" s="37"/>
      <c r="D72" s="37"/>
      <c r="E72" s="37"/>
      <c r="F72" s="84"/>
      <c r="G72" s="27">
        <f t="shared" si="5"/>
        <v>0</v>
      </c>
      <c r="H72" s="27"/>
      <c r="I72" s="27"/>
      <c r="J72" s="27"/>
      <c r="K72" s="27"/>
      <c r="L72" s="82" t="e">
        <f t="shared" si="6"/>
        <v>#DIV/0!</v>
      </c>
      <c r="M72" s="8" t="e">
        <f t="shared" si="2"/>
        <v>#DIV/0!</v>
      </c>
      <c r="N72" s="175"/>
      <c r="O72" s="6"/>
    </row>
    <row r="73" spans="2:15" s="47" customFormat="1" ht="15" customHeight="1" hidden="1">
      <c r="B73" s="39" t="s">
        <v>52</v>
      </c>
      <c r="C73" s="37"/>
      <c r="D73" s="37"/>
      <c r="E73" s="37"/>
      <c r="F73" s="84"/>
      <c r="G73" s="27">
        <f t="shared" si="5"/>
        <v>0</v>
      </c>
      <c r="H73" s="27"/>
      <c r="I73" s="27"/>
      <c r="J73" s="27"/>
      <c r="K73" s="27"/>
      <c r="L73" s="46">
        <f t="shared" si="6"/>
        <v>0</v>
      </c>
      <c r="M73" s="8"/>
      <c r="N73" s="175"/>
      <c r="O73" s="6"/>
    </row>
    <row r="74" spans="2:15" s="47" customFormat="1" ht="15" customHeight="1" hidden="1">
      <c r="B74" s="39" t="s">
        <v>26</v>
      </c>
      <c r="C74" s="37"/>
      <c r="D74" s="37"/>
      <c r="E74" s="37"/>
      <c r="F74" s="84"/>
      <c r="G74" s="27">
        <f>SUM(H74:K74)</f>
        <v>0</v>
      </c>
      <c r="H74" s="27"/>
      <c r="I74" s="27"/>
      <c r="J74" s="27"/>
      <c r="K74" s="27"/>
      <c r="L74" s="82">
        <f t="shared" si="6"/>
        <v>0</v>
      </c>
      <c r="M74" s="8"/>
      <c r="N74" s="175"/>
      <c r="O74" s="6"/>
    </row>
    <row r="75" spans="2:15" s="50" customFormat="1" ht="15" customHeight="1" hidden="1">
      <c r="B75" s="1" t="s">
        <v>27</v>
      </c>
      <c r="C75" s="72"/>
      <c r="D75" s="72"/>
      <c r="E75" s="72"/>
      <c r="F75" s="72"/>
      <c r="G75" s="27">
        <f t="shared" si="5"/>
        <v>0</v>
      </c>
      <c r="H75" s="27"/>
      <c r="I75" s="27"/>
      <c r="J75" s="27"/>
      <c r="K75" s="27"/>
      <c r="L75" s="46">
        <f>G75/7296</f>
        <v>0</v>
      </c>
      <c r="M75" s="8">
        <f>G75/7296</f>
        <v>0</v>
      </c>
      <c r="N75" s="180"/>
      <c r="O75" s="54"/>
    </row>
    <row r="76" spans="2:12" ht="36.75" customHeight="1">
      <c r="B76" s="225" t="s">
        <v>156</v>
      </c>
      <c r="C76" s="225"/>
      <c r="D76" s="225"/>
      <c r="E76" s="227"/>
      <c r="F76" s="225" t="s">
        <v>157</v>
      </c>
      <c r="G76" s="226"/>
      <c r="H76" s="7"/>
      <c r="I76" s="89"/>
      <c r="J76" s="7"/>
      <c r="K76" s="7"/>
      <c r="L76" s="90"/>
    </row>
    <row r="77" spans="2:12" ht="24.75" customHeight="1">
      <c r="B77" s="6" t="s">
        <v>144</v>
      </c>
      <c r="C77" s="6"/>
      <c r="D77" s="6"/>
      <c r="E77" s="125"/>
      <c r="F77" s="144" t="str">
        <f>'резерв отпускных (3)'!D20</f>
        <v>А.Р. Саттарова</v>
      </c>
      <c r="G77" s="143"/>
      <c r="H77" s="7"/>
      <c r="I77" s="7"/>
      <c r="J77" s="7"/>
      <c r="K77" s="7"/>
      <c r="L77" s="92" t="e">
        <f>L19-L21-L26-L27-L28-L41-L42-L47-L53-L57</f>
        <v>#DIV/0!</v>
      </c>
    </row>
    <row r="78" spans="2:12" ht="24.75" customHeight="1">
      <c r="B78" s="6"/>
      <c r="C78" s="6"/>
      <c r="D78" s="6"/>
      <c r="E78" s="6"/>
      <c r="F78" s="6"/>
      <c r="G78" s="7"/>
      <c r="H78" s="7"/>
      <c r="I78" s="7"/>
      <c r="J78" s="7"/>
      <c r="K78" s="93"/>
      <c r="L78" s="92"/>
    </row>
    <row r="79" spans="2:12" ht="24.75" customHeight="1" hidden="1">
      <c r="B79" s="6"/>
      <c r="C79" s="6"/>
      <c r="D79" s="6"/>
      <c r="E79" s="6"/>
      <c r="F79" s="6"/>
      <c r="G79" s="7"/>
      <c r="H79" s="7"/>
      <c r="I79" s="7"/>
      <c r="J79" s="7"/>
      <c r="K79" s="93"/>
      <c r="L79" s="92"/>
    </row>
    <row r="80" spans="2:11" ht="18.75" customHeight="1">
      <c r="B80" s="6"/>
      <c r="C80" s="6"/>
      <c r="D80" s="6"/>
      <c r="E80" s="18"/>
      <c r="F80" s="202"/>
      <c r="H80" s="202"/>
      <c r="I80" s="94"/>
      <c r="J80" s="7"/>
      <c r="K80" s="7"/>
    </row>
    <row r="81" spans="9:11" ht="12.75" customHeight="1">
      <c r="I81" s="94"/>
      <c r="J81" s="7"/>
      <c r="K81" s="7"/>
    </row>
    <row r="82" spans="9:11" ht="18.75" customHeight="1">
      <c r="I82" s="94"/>
      <c r="J82" s="7"/>
      <c r="K82" s="7"/>
    </row>
    <row r="83" spans="9:13" ht="12.75" customHeight="1">
      <c r="I83" s="94"/>
      <c r="L83" s="95" t="e">
        <f>L21+L26+L28+L42+L47+L53+L57+L27+L23</f>
        <v>#DIV/0!</v>
      </c>
      <c r="M83" s="96" t="e">
        <f>M21+M26+M28+M42+M47+M53+M57+M27+M23</f>
        <v>#DIV/0!</v>
      </c>
    </row>
    <row r="84" ht="12.75" customHeight="1">
      <c r="I84" s="94"/>
    </row>
    <row r="85" spans="3:12" ht="12.75" customHeight="1">
      <c r="C85" s="97"/>
      <c r="L85" s="98"/>
    </row>
    <row r="86" ht="12.75" customHeight="1">
      <c r="I86" s="94"/>
    </row>
    <row r="87" ht="12.75" customHeight="1">
      <c r="I87" s="94"/>
    </row>
    <row r="88" ht="12.75" customHeight="1">
      <c r="I88" s="94"/>
    </row>
    <row r="89" ht="12.75" customHeight="1">
      <c r="I89" s="94"/>
    </row>
    <row r="90" ht="12.75" customHeight="1">
      <c r="I90" s="94"/>
    </row>
    <row r="91" ht="12.75" customHeight="1">
      <c r="I91" s="94"/>
    </row>
    <row r="92" ht="12.75" customHeight="1">
      <c r="I92" s="94"/>
    </row>
    <row r="93" ht="12.75" customHeight="1">
      <c r="I93" s="94"/>
    </row>
  </sheetData>
  <sheetProtection/>
  <mergeCells count="7">
    <mergeCell ref="B48:D48"/>
    <mergeCell ref="B2:K2"/>
    <mergeCell ref="B3:K3"/>
    <mergeCell ref="P3:S3"/>
    <mergeCell ref="H17:I17"/>
    <mergeCell ref="J17:K17"/>
    <mergeCell ref="N17:N18"/>
  </mergeCells>
  <printOptions/>
  <pageMargins left="0.5905511811023623" right="0.1968503937007874" top="0.17" bottom="0.16" header="0" footer="0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53"/>
  <sheetViews>
    <sheetView view="pageBreakPreview" zoomScale="90" zoomScaleSheetLayoutView="90" zoomScalePageLayoutView="0" workbookViewId="0" topLeftCell="A1">
      <selection activeCell="D26" sqref="D26"/>
    </sheetView>
  </sheetViews>
  <sheetFormatPr defaultColWidth="9.00390625" defaultRowHeight="12.75"/>
  <cols>
    <col min="1" max="1" width="2.375" style="88" customWidth="1"/>
    <col min="2" max="2" width="4.75390625" style="88" customWidth="1"/>
    <col min="3" max="3" width="44.25390625" style="88" customWidth="1"/>
    <col min="4" max="4" width="15.625" style="88" customWidth="1"/>
    <col min="5" max="5" width="13.375" style="88" hidden="1" customWidth="1"/>
    <col min="6" max="7" width="9.125" style="88" customWidth="1"/>
    <col min="8" max="8" width="11.625" style="88" customWidth="1"/>
    <col min="9" max="16384" width="9.125" style="88" customWidth="1"/>
  </cols>
  <sheetData>
    <row r="2" spans="2:7" ht="15.75">
      <c r="B2" s="6"/>
      <c r="C2" s="6"/>
      <c r="D2" s="6" t="s">
        <v>57</v>
      </c>
      <c r="E2" s="6"/>
      <c r="F2" s="6"/>
      <c r="G2" s="6"/>
    </row>
    <row r="3" spans="2:7" ht="48.75" customHeight="1">
      <c r="B3" s="6"/>
      <c r="C3" s="6"/>
      <c r="D3" s="319" t="str">
        <f>' (смета)'!C5</f>
        <v>"Центр дополнительного образования детей им.В.Волошиной"</v>
      </c>
      <c r="E3" s="319"/>
      <c r="F3" s="319"/>
      <c r="G3" s="319"/>
    </row>
    <row r="4" spans="2:7" ht="15.75">
      <c r="B4" s="6"/>
      <c r="C4" s="6"/>
      <c r="D4" s="125"/>
      <c r="E4" s="6"/>
      <c r="F4" s="6" t="str">
        <f>' (смета)'!F80</f>
        <v> И.П. Чередова</v>
      </c>
      <c r="G4" s="6"/>
    </row>
    <row r="5" spans="2:7" ht="15.75">
      <c r="B5" s="6"/>
      <c r="C5" s="6"/>
      <c r="D5" s="6"/>
      <c r="E5" s="6"/>
      <c r="F5" s="6"/>
      <c r="G5" s="6"/>
    </row>
    <row r="6" spans="2:10" ht="15.75">
      <c r="B6" s="6"/>
      <c r="C6" s="6"/>
      <c r="D6" s="126" t="s">
        <v>221</v>
      </c>
      <c r="E6" s="126"/>
      <c r="F6" s="126"/>
      <c r="G6" s="6"/>
      <c r="H6" s="203"/>
      <c r="I6" s="204"/>
      <c r="J6" s="204"/>
    </row>
    <row r="7" spans="2:7" ht="15.75">
      <c r="B7" s="6"/>
      <c r="C7" s="6"/>
      <c r="D7" s="6"/>
      <c r="E7" s="6"/>
      <c r="F7" s="6"/>
      <c r="G7" s="6"/>
    </row>
    <row r="8" spans="2:7" ht="15.75">
      <c r="B8" s="322" t="s">
        <v>58</v>
      </c>
      <c r="C8" s="322"/>
      <c r="D8" s="322"/>
      <c r="E8" s="6"/>
      <c r="F8" s="6"/>
      <c r="G8" s="6"/>
    </row>
    <row r="9" spans="2:7" ht="15.75">
      <c r="B9" s="323" t="s">
        <v>134</v>
      </c>
      <c r="C9" s="323"/>
      <c r="D9" s="323"/>
      <c r="E9" s="175"/>
      <c r="F9" s="6"/>
      <c r="G9" s="6"/>
    </row>
    <row r="10" spans="2:7" ht="15.75">
      <c r="B10" s="175"/>
      <c r="C10" s="175" t="str">
        <f>' (смета) (4)'!D6</f>
        <v>"Педагог-психолог"</v>
      </c>
      <c r="D10" s="175"/>
      <c r="E10" s="175"/>
      <c r="F10" s="6"/>
      <c r="G10" s="6"/>
    </row>
    <row r="11" spans="2:7" ht="15.75">
      <c r="B11" s="204"/>
      <c r="C11" s="89" t="str">
        <f>' (смета) (4)'!B7</f>
        <v>По программе:</v>
      </c>
      <c r="D11" s="175"/>
      <c r="E11" s="175"/>
      <c r="F11" s="6"/>
      <c r="G11" s="6"/>
    </row>
    <row r="12" spans="2:7" ht="15.75">
      <c r="B12" s="89"/>
      <c r="C12" s="89" t="str">
        <f>' (смета) (4)'!D7</f>
        <v>Я и мои друзья (индивидуальное занятие)</v>
      </c>
      <c r="D12" s="175"/>
      <c r="E12" s="175"/>
      <c r="F12" s="6"/>
      <c r="G12" s="6"/>
    </row>
    <row r="13" spans="2:7" ht="15.75">
      <c r="B13" s="324" t="str">
        <f>' (смета)'!B3:K3</f>
        <v>                 на  2023-2024 учебный год  (сентябрь -май)</v>
      </c>
      <c r="C13" s="324"/>
      <c r="D13" s="324"/>
      <c r="E13" s="324"/>
      <c r="F13" s="6"/>
      <c r="G13" s="6"/>
    </row>
    <row r="14" spans="2:5" ht="24.75" customHeight="1">
      <c r="B14" s="127" t="s">
        <v>59</v>
      </c>
      <c r="C14" s="127" t="s">
        <v>60</v>
      </c>
      <c r="D14" s="127" t="s">
        <v>93</v>
      </c>
      <c r="E14" s="205" t="s">
        <v>62</v>
      </c>
    </row>
    <row r="15" spans="2:5" ht="16.5" customHeight="1">
      <c r="B15" s="206">
        <v>1</v>
      </c>
      <c r="C15" s="207" t="s">
        <v>61</v>
      </c>
      <c r="D15" s="128">
        <f>SUM(D16:D25)</f>
        <v>51840</v>
      </c>
      <c r="E15" s="208">
        <f>SUM(E16:E24)</f>
        <v>0</v>
      </c>
    </row>
    <row r="16" spans="2:5" ht="15.75">
      <c r="B16" s="209" t="s">
        <v>63</v>
      </c>
      <c r="C16" s="130" t="s">
        <v>72</v>
      </c>
      <c r="D16" s="27">
        <f>'резерв отпускных (4)'!D15</f>
        <v>35060</v>
      </c>
      <c r="E16" s="210"/>
    </row>
    <row r="17" spans="2:5" ht="15.75">
      <c r="B17" s="209" t="s">
        <v>64</v>
      </c>
      <c r="C17" s="130" t="s">
        <v>73</v>
      </c>
      <c r="D17" s="27">
        <f>'резерв отпускных (4)'!D16</f>
        <v>10588</v>
      </c>
      <c r="E17" s="210"/>
    </row>
    <row r="18" spans="2:5" ht="15.75">
      <c r="B18" s="209" t="s">
        <v>65</v>
      </c>
      <c r="C18" s="130" t="s">
        <v>74</v>
      </c>
      <c r="D18" s="27">
        <f>'резерв отпускных (4)'!D14-1</f>
        <v>6192</v>
      </c>
      <c r="E18" s="210"/>
    </row>
    <row r="19" spans="2:5" ht="15.75" hidden="1">
      <c r="B19" s="209" t="s">
        <v>66</v>
      </c>
      <c r="C19" s="130"/>
      <c r="D19" s="129"/>
      <c r="E19" s="210"/>
    </row>
    <row r="20" spans="2:5" ht="15.75" hidden="1">
      <c r="B20" s="209" t="s">
        <v>67</v>
      </c>
      <c r="C20" s="130"/>
      <c r="D20" s="129"/>
      <c r="E20" s="210"/>
    </row>
    <row r="21" spans="2:5" ht="15.75" hidden="1">
      <c r="B21" s="209" t="s">
        <v>68</v>
      </c>
      <c r="C21" s="130"/>
      <c r="D21" s="129"/>
      <c r="E21" s="210"/>
    </row>
    <row r="22" spans="2:5" ht="15.75" hidden="1">
      <c r="B22" s="209" t="s">
        <v>69</v>
      </c>
      <c r="C22" s="130"/>
      <c r="D22" s="129"/>
      <c r="E22" s="210"/>
    </row>
    <row r="23" spans="2:5" ht="25.5" customHeight="1" hidden="1">
      <c r="B23" s="209" t="s">
        <v>70</v>
      </c>
      <c r="C23" s="130"/>
      <c r="D23" s="130"/>
      <c r="E23" s="210"/>
    </row>
    <row r="24" spans="2:5" ht="15.75" hidden="1">
      <c r="B24" s="209" t="s">
        <v>71</v>
      </c>
      <c r="C24" s="130"/>
      <c r="D24" s="130"/>
      <c r="E24" s="210"/>
    </row>
    <row r="25" spans="2:5" ht="15.75" hidden="1">
      <c r="B25" s="211"/>
      <c r="C25" s="130"/>
      <c r="D25" s="129"/>
      <c r="E25" s="210"/>
    </row>
    <row r="26" spans="2:5" ht="15.75">
      <c r="B26" s="206">
        <v>2</v>
      </c>
      <c r="C26" s="207" t="s">
        <v>75</v>
      </c>
      <c r="D26" s="131">
        <f>D27+D38+D43+D44+D42+D41+D39+D40</f>
        <v>34560</v>
      </c>
      <c r="E26" s="208">
        <f>E27+E38+E41+E42+E43+E44</f>
        <v>0</v>
      </c>
    </row>
    <row r="27" spans="2:5" ht="31.5" hidden="1">
      <c r="B27" s="209" t="s">
        <v>76</v>
      </c>
      <c r="C27" s="212" t="s">
        <v>102</v>
      </c>
      <c r="D27" s="27">
        <f>D28+D37</f>
        <v>0</v>
      </c>
      <c r="E27" s="210">
        <f>E28+E37</f>
        <v>0</v>
      </c>
    </row>
    <row r="28" spans="2:5" ht="15.75" hidden="1">
      <c r="B28" s="209" t="s">
        <v>82</v>
      </c>
      <c r="C28" s="59" t="s">
        <v>72</v>
      </c>
      <c r="D28" s="27">
        <f>SUM(D29:D36)</f>
        <v>0</v>
      </c>
      <c r="E28" s="210">
        <f>SUM(E29:E36)</f>
        <v>0</v>
      </c>
    </row>
    <row r="29" spans="2:5" ht="15.75" hidden="1">
      <c r="B29" s="209"/>
      <c r="C29" s="59" t="s">
        <v>99</v>
      </c>
      <c r="D29" s="27"/>
      <c r="E29" s="210"/>
    </row>
    <row r="30" spans="2:5" ht="15.75" hidden="1">
      <c r="B30" s="209"/>
      <c r="C30" s="59" t="s">
        <v>86</v>
      </c>
      <c r="D30" s="129"/>
      <c r="E30" s="210"/>
    </row>
    <row r="31" spans="2:5" ht="15.75" hidden="1">
      <c r="B31" s="209"/>
      <c r="C31" s="59" t="s">
        <v>84</v>
      </c>
      <c r="D31" s="129"/>
      <c r="E31" s="210"/>
    </row>
    <row r="32" spans="2:5" ht="15.75" hidden="1">
      <c r="B32" s="209"/>
      <c r="C32" s="59" t="s">
        <v>85</v>
      </c>
      <c r="D32" s="129"/>
      <c r="E32" s="210"/>
    </row>
    <row r="33" spans="2:5" ht="15.75" hidden="1">
      <c r="B33" s="209"/>
      <c r="C33" s="59" t="s">
        <v>100</v>
      </c>
      <c r="D33" s="27">
        <f>+' (смета)'!G55/1.271</f>
        <v>0</v>
      </c>
      <c r="E33" s="210"/>
    </row>
    <row r="34" spans="2:5" ht="15.75" hidden="1">
      <c r="B34" s="209"/>
      <c r="C34" s="59" t="s">
        <v>87</v>
      </c>
      <c r="D34" s="129"/>
      <c r="E34" s="210"/>
    </row>
    <row r="35" spans="2:5" ht="15.75" hidden="1">
      <c r="B35" s="209"/>
      <c r="C35" s="59" t="s">
        <v>88</v>
      </c>
      <c r="D35" s="129"/>
      <c r="E35" s="210"/>
    </row>
    <row r="36" spans="2:5" ht="15.75" hidden="1">
      <c r="B36" s="209"/>
      <c r="C36" s="59" t="s">
        <v>89</v>
      </c>
      <c r="D36" s="129"/>
      <c r="E36" s="210"/>
    </row>
    <row r="37" spans="2:5" ht="15.75" hidden="1">
      <c r="B37" s="209" t="s">
        <v>83</v>
      </c>
      <c r="C37" s="59" t="s">
        <v>73</v>
      </c>
      <c r="D37" s="27">
        <f>D28*27.1%</f>
        <v>0</v>
      </c>
      <c r="E37" s="210">
        <f>E28*26.2%</f>
        <v>0</v>
      </c>
    </row>
    <row r="38" spans="2:5" ht="15.75">
      <c r="B38" s="209" t="s">
        <v>77</v>
      </c>
      <c r="C38" s="130" t="s">
        <v>90</v>
      </c>
      <c r="D38" s="27">
        <f>' (смета) (4)'!G28</f>
        <v>8640</v>
      </c>
      <c r="E38" s="210"/>
    </row>
    <row r="39" spans="2:5" ht="31.5" customHeight="1">
      <c r="B39" s="213" t="s">
        <v>78</v>
      </c>
      <c r="C39" s="214" t="s">
        <v>104</v>
      </c>
      <c r="D39" s="27">
        <f>' (смета) (4)'!G48</f>
        <v>4320</v>
      </c>
      <c r="E39" s="210"/>
    </row>
    <row r="40" spans="2:5" ht="16.5" customHeight="1">
      <c r="B40" s="213" t="s">
        <v>79</v>
      </c>
      <c r="C40" s="214" t="s">
        <v>135</v>
      </c>
      <c r="D40" s="27">
        <f>' (смета) (4)'!G49</f>
        <v>1123</v>
      </c>
      <c r="E40" s="210"/>
    </row>
    <row r="41" spans="2:5" ht="15.75">
      <c r="B41" s="209" t="s">
        <v>80</v>
      </c>
      <c r="C41" s="130" t="s">
        <v>97</v>
      </c>
      <c r="D41" s="27">
        <f>' (смета) (4)'!G70</f>
        <v>0</v>
      </c>
      <c r="E41" s="210"/>
    </row>
    <row r="42" spans="2:5" ht="15.75">
      <c r="B42" s="209" t="s">
        <v>81</v>
      </c>
      <c r="C42" s="39" t="s">
        <v>136</v>
      </c>
      <c r="D42" s="132">
        <f>+' (смета) (4)'!G71</f>
        <v>0</v>
      </c>
      <c r="E42" s="37"/>
    </row>
    <row r="43" spans="2:5" ht="15.75">
      <c r="B43" s="209" t="s">
        <v>95</v>
      </c>
      <c r="C43" s="130" t="s">
        <v>137</v>
      </c>
      <c r="D43" s="129">
        <f>' (смета) (4)'!G59</f>
        <v>20477</v>
      </c>
      <c r="E43" s="210"/>
    </row>
    <row r="44" spans="2:5" ht="15.75">
      <c r="B44" s="209" t="s">
        <v>109</v>
      </c>
      <c r="C44" s="212" t="s">
        <v>138</v>
      </c>
      <c r="D44" s="129">
        <f>' (смета) (4)'!G72</f>
        <v>0</v>
      </c>
      <c r="E44" s="210"/>
    </row>
    <row r="45" spans="2:5" ht="18.75" customHeight="1">
      <c r="B45" s="206">
        <v>3</v>
      </c>
      <c r="C45" s="207" t="s">
        <v>91</v>
      </c>
      <c r="D45" s="131">
        <f>D15+D26</f>
        <v>86400</v>
      </c>
      <c r="E45" s="208">
        <f>E15+E26</f>
        <v>0</v>
      </c>
    </row>
    <row r="46" spans="2:5" ht="15.75">
      <c r="B46" s="211"/>
      <c r="C46" s="130"/>
      <c r="D46" s="129"/>
      <c r="E46" s="210"/>
    </row>
    <row r="47" spans="2:5" ht="15.75">
      <c r="B47" s="211">
        <v>4</v>
      </c>
      <c r="C47" s="130" t="s">
        <v>92</v>
      </c>
      <c r="D47" s="27">
        <f>' (смета) (4)'!E8</f>
        <v>3</v>
      </c>
      <c r="E47" s="210"/>
    </row>
    <row r="48" spans="2:5" ht="15.75">
      <c r="B48" s="211">
        <v>5</v>
      </c>
      <c r="C48" s="130" t="s">
        <v>139</v>
      </c>
      <c r="D48" s="27">
        <f>' (смета) (4)'!E12</f>
        <v>72</v>
      </c>
      <c r="E48" s="210"/>
    </row>
    <row r="49" spans="2:5" ht="15.75">
      <c r="B49" s="206">
        <v>6</v>
      </c>
      <c r="C49" s="207" t="s">
        <v>140</v>
      </c>
      <c r="D49" s="131">
        <f>D45/D47/D48</f>
        <v>400</v>
      </c>
      <c r="E49" s="208"/>
    </row>
    <row r="50" spans="2:4" ht="15.75">
      <c r="B50" s="6"/>
      <c r="C50" s="6"/>
      <c r="D50" s="6"/>
    </row>
    <row r="51" spans="2:8" ht="15.75">
      <c r="B51" s="6" t="s">
        <v>151</v>
      </c>
      <c r="C51" s="7" t="str">
        <f>' (смета) (4)'!F77</f>
        <v>А.Р. Саттарова</v>
      </c>
      <c r="D51" s="6"/>
      <c r="E51" s="125"/>
      <c r="F51" s="18"/>
      <c r="G51" s="320"/>
      <c r="H51" s="320"/>
    </row>
    <row r="52" spans="2:8" ht="15.75">
      <c r="B52" s="6"/>
      <c r="C52" s="6"/>
      <c r="D52" s="6"/>
      <c r="E52" s="6"/>
      <c r="F52" s="6"/>
      <c r="G52" s="7"/>
      <c r="H52" s="7"/>
    </row>
    <row r="53" spans="2:8" ht="15.75">
      <c r="B53" s="6"/>
      <c r="C53" s="6"/>
      <c r="D53" s="6"/>
      <c r="E53" s="125"/>
      <c r="F53" s="18"/>
      <c r="G53" s="321"/>
      <c r="H53" s="321"/>
    </row>
  </sheetData>
  <sheetProtection/>
  <mergeCells count="6">
    <mergeCell ref="G53:H53"/>
    <mergeCell ref="D3:G3"/>
    <mergeCell ref="B8:D8"/>
    <mergeCell ref="B9:D9"/>
    <mergeCell ref="B13:E13"/>
    <mergeCell ref="G51:H51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1"/>
  <sheetViews>
    <sheetView view="pageBreakPreview" zoomScale="90" zoomScaleSheetLayoutView="90" zoomScalePageLayoutView="0" workbookViewId="0" topLeftCell="A1">
      <selection activeCell="G11" sqref="G11"/>
    </sheetView>
  </sheetViews>
  <sheetFormatPr defaultColWidth="9.00390625" defaultRowHeight="12.75"/>
  <cols>
    <col min="1" max="1" width="2.375" style="6" customWidth="1"/>
    <col min="2" max="2" width="7.875" style="6" customWidth="1"/>
    <col min="3" max="3" width="53.75390625" style="6" customWidth="1"/>
    <col min="4" max="4" width="17.875" style="6" customWidth="1"/>
    <col min="5" max="5" width="4.625" style="6" customWidth="1"/>
    <col min="6" max="7" width="9.125" style="6" customWidth="1"/>
    <col min="8" max="8" width="9.375" style="6" customWidth="1"/>
    <col min="9" max="16384" width="9.125" style="6" customWidth="1"/>
  </cols>
  <sheetData>
    <row r="1" ht="15.75"/>
    <row r="2" spans="2:5" ht="15.75">
      <c r="B2" s="301" t="str">
        <f>' (смета) (4)'!C4</f>
        <v>Муниципальное бюджетное образовательное учреждение  дополнительного образования        </v>
      </c>
      <c r="C2" s="301"/>
      <c r="D2" s="301"/>
      <c r="E2" s="134"/>
    </row>
    <row r="3" spans="2:5" ht="15.75">
      <c r="B3" s="317" t="str">
        <f>' (смета) (4)'!C5</f>
        <v>"Центр дополнительного образования детей им.В.Волошиной"</v>
      </c>
      <c r="C3" s="317"/>
      <c r="D3" s="317"/>
      <c r="E3" s="134"/>
    </row>
    <row r="4" ht="15.75">
      <c r="C4" s="173"/>
    </row>
    <row r="5" spans="2:5" ht="15.75">
      <c r="B5" s="318" t="s">
        <v>152</v>
      </c>
      <c r="C5" s="318"/>
      <c r="D5" s="318"/>
      <c r="E5" s="200"/>
    </row>
    <row r="6" spans="2:5" ht="15.75">
      <c r="B6" s="200"/>
      <c r="C6" s="200" t="str">
        <f>' (смета)'!B3</f>
        <v>                 на  2023-2024 учебный год  (сентябрь -май)</v>
      </c>
      <c r="D6" s="200"/>
      <c r="E6" s="200"/>
    </row>
    <row r="7" spans="2:5" ht="15.75">
      <c r="B7" s="326" t="s">
        <v>203</v>
      </c>
      <c r="C7" s="326"/>
      <c r="D7" s="200"/>
      <c r="E7" s="200"/>
    </row>
    <row r="8" spans="2:5" ht="15.75" customHeight="1">
      <c r="B8" s="270"/>
      <c r="C8" s="270" t="str">
        <f>' (смета) (4)'!B7</f>
        <v>По программе:</v>
      </c>
      <c r="D8" s="200"/>
      <c r="E8" s="134"/>
    </row>
    <row r="9" spans="2:5" s="5" customFormat="1" ht="15.75">
      <c r="B9" s="200"/>
      <c r="C9" s="283" t="str">
        <f>'калькуляция (4)'!C12</f>
        <v>Я и мои друзья (индивидуальное занятие)</v>
      </c>
      <c r="D9" s="284"/>
      <c r="E9" s="222"/>
    </row>
    <row r="10" spans="2:7" ht="33" customHeight="1">
      <c r="B10" s="215" t="s">
        <v>110</v>
      </c>
      <c r="C10" s="127" t="s">
        <v>111</v>
      </c>
      <c r="D10" s="127" t="s">
        <v>112</v>
      </c>
      <c r="E10" s="135"/>
      <c r="F10" s="175" t="s">
        <v>146</v>
      </c>
      <c r="G10" s="175" t="s">
        <v>147</v>
      </c>
    </row>
    <row r="11" spans="2:7" ht="23.25" customHeight="1">
      <c r="B11" s="127">
        <v>1</v>
      </c>
      <c r="C11" s="216" t="s">
        <v>113</v>
      </c>
      <c r="D11" s="217">
        <f>(' (смета) (4)'!G22/9)/29.3*F11</f>
        <v>4756.18</v>
      </c>
      <c r="E11" s="133"/>
      <c r="F11" s="218">
        <f>42/12*9</f>
        <v>31.5</v>
      </c>
      <c r="G11" s="218">
        <f>F11/9</f>
        <v>3.5</v>
      </c>
    </row>
    <row r="12" spans="2:5" ht="33" customHeight="1">
      <c r="B12" s="127">
        <v>2</v>
      </c>
      <c r="C12" s="219" t="s">
        <v>116</v>
      </c>
      <c r="D12" s="136">
        <f>D11*30.2%</f>
        <v>1436.37</v>
      </c>
      <c r="E12" s="137"/>
    </row>
    <row r="13" spans="2:5" ht="33" customHeight="1" hidden="1">
      <c r="B13" s="127">
        <v>3</v>
      </c>
      <c r="C13" s="219" t="s">
        <v>117</v>
      </c>
      <c r="D13" s="136"/>
      <c r="E13" s="137"/>
    </row>
    <row r="14" spans="2:5" ht="54" customHeight="1">
      <c r="B14" s="127">
        <v>3</v>
      </c>
      <c r="C14" s="219" t="s">
        <v>118</v>
      </c>
      <c r="D14" s="136">
        <f>D11+D12-D13</f>
        <v>6192.55</v>
      </c>
      <c r="E14" s="137"/>
    </row>
    <row r="15" spans="2:5" ht="33" customHeight="1">
      <c r="B15" s="127">
        <v>4</v>
      </c>
      <c r="C15" s="219" t="s">
        <v>114</v>
      </c>
      <c r="D15" s="141">
        <f>' (смета) (4)'!G22-D11</f>
        <v>35059.82</v>
      </c>
      <c r="E15" s="133"/>
    </row>
    <row r="16" spans="2:5" ht="33" customHeight="1">
      <c r="B16" s="127">
        <v>5</v>
      </c>
      <c r="C16" s="219" t="s">
        <v>119</v>
      </c>
      <c r="D16" s="136">
        <f>D15*30.2%</f>
        <v>10588.07</v>
      </c>
      <c r="E16" s="137"/>
    </row>
    <row r="17" spans="2:5" ht="33" customHeight="1">
      <c r="B17" s="127">
        <v>6</v>
      </c>
      <c r="C17" s="219" t="s">
        <v>120</v>
      </c>
      <c r="D17" s="136">
        <f>D15+D16</f>
        <v>45647.89</v>
      </c>
      <c r="E17" s="137"/>
    </row>
    <row r="18" spans="2:5" ht="33" customHeight="1">
      <c r="B18" s="127">
        <v>7</v>
      </c>
      <c r="C18" s="219" t="s">
        <v>121</v>
      </c>
      <c r="D18" s="220">
        <f>D14/D17</f>
        <v>0.1357</v>
      </c>
      <c r="E18" s="138"/>
    </row>
    <row r="19" spans="2:5" ht="49.5" customHeight="1">
      <c r="B19" s="127">
        <v>8</v>
      </c>
      <c r="C19" s="219" t="s">
        <v>122</v>
      </c>
      <c r="D19" s="139" t="s">
        <v>115</v>
      </c>
      <c r="E19" s="140"/>
    </row>
    <row r="21" spans="2:4" ht="15.75">
      <c r="B21" s="6" t="s">
        <v>216</v>
      </c>
      <c r="D21" s="7" t="str">
        <f>'калькуляция (4)'!C51</f>
        <v>А.Р. Саттарова</v>
      </c>
    </row>
  </sheetData>
  <sheetProtection/>
  <mergeCells count="3">
    <mergeCell ref="B3:D3"/>
    <mergeCell ref="B5:D5"/>
    <mergeCell ref="B7:C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Zeros="0" view="pageBreakPreview" zoomScale="90" zoomScaleNormal="80" zoomScaleSheetLayoutView="90" zoomScalePageLayoutView="0" workbookViewId="0" topLeftCell="B1">
      <selection activeCell="O49" sqref="O49"/>
    </sheetView>
  </sheetViews>
  <sheetFormatPr defaultColWidth="9.00390625" defaultRowHeight="12.75" customHeight="1"/>
  <cols>
    <col min="1" max="1" width="0.74609375" style="88" customWidth="1"/>
    <col min="2" max="2" width="13.75390625" style="88" customWidth="1"/>
    <col min="3" max="3" width="11.00390625" style="88" customWidth="1"/>
    <col min="4" max="4" width="25.875" style="88" customWidth="1"/>
    <col min="5" max="5" width="11.375" style="88" customWidth="1"/>
    <col min="6" max="6" width="13.875" style="88" customWidth="1"/>
    <col min="7" max="7" width="13.625" style="91" customWidth="1"/>
    <col min="8" max="8" width="12.25390625" style="91" customWidth="1"/>
    <col min="9" max="9" width="12.625" style="91" customWidth="1"/>
    <col min="10" max="10" width="11.625" style="91" customWidth="1"/>
    <col min="11" max="11" width="12.375" style="91" customWidth="1"/>
    <col min="12" max="12" width="11.00390625" style="88" hidden="1" customWidth="1"/>
    <col min="13" max="13" width="11.00390625" style="8" hidden="1" customWidth="1"/>
    <col min="14" max="14" width="12.875" style="175" customWidth="1"/>
    <col min="15" max="15" width="9.125" style="6" customWidth="1"/>
    <col min="16" max="16" width="11.875" style="88" customWidth="1"/>
    <col min="17" max="17" width="10.875" style="88" customWidth="1"/>
    <col min="18" max="18" width="10.75390625" style="88" customWidth="1"/>
    <col min="19" max="19" width="12.25390625" style="88" customWidth="1"/>
    <col min="20" max="20" width="17.375" style="88" customWidth="1"/>
    <col min="21" max="16384" width="9.125" style="88" customWidth="1"/>
  </cols>
  <sheetData>
    <row r="1" spans="7:14" s="6" customFormat="1" ht="12.75" customHeight="1">
      <c r="G1" s="7"/>
      <c r="H1" s="7"/>
      <c r="I1" s="7"/>
      <c r="J1" s="7"/>
      <c r="K1" s="7"/>
      <c r="M1" s="8"/>
      <c r="N1" s="175"/>
    </row>
    <row r="2" spans="2:15" s="9" customFormat="1" ht="19.5" customHeight="1">
      <c r="B2" s="310" t="s">
        <v>103</v>
      </c>
      <c r="C2" s="310"/>
      <c r="D2" s="310"/>
      <c r="E2" s="310"/>
      <c r="F2" s="310"/>
      <c r="G2" s="310"/>
      <c r="H2" s="310"/>
      <c r="I2" s="310"/>
      <c r="J2" s="310"/>
      <c r="K2" s="310"/>
      <c r="M2" s="8"/>
      <c r="N2" s="175"/>
      <c r="O2" s="6"/>
    </row>
    <row r="3" spans="2:20" s="9" customFormat="1" ht="19.5" customHeight="1">
      <c r="B3" s="310" t="str">
        <f>' (смета) (4)'!B3:K3</f>
        <v>                 на  2023-2024 учебный год  (сентябрь -май)</v>
      </c>
      <c r="C3" s="310"/>
      <c r="D3" s="310"/>
      <c r="E3" s="310"/>
      <c r="F3" s="310"/>
      <c r="G3" s="310"/>
      <c r="H3" s="310"/>
      <c r="I3" s="310"/>
      <c r="J3" s="310"/>
      <c r="K3" s="310"/>
      <c r="M3" s="8"/>
      <c r="N3" s="175"/>
      <c r="O3" s="6"/>
      <c r="P3" s="305" t="s">
        <v>148</v>
      </c>
      <c r="Q3" s="306"/>
      <c r="R3" s="306"/>
      <c r="S3" s="307"/>
      <c r="T3" s="195" t="s">
        <v>72</v>
      </c>
    </row>
    <row r="4" spans="2:20" s="6" customFormat="1" ht="16.5" customHeight="1">
      <c r="B4" s="224" t="s">
        <v>155</v>
      </c>
      <c r="C4" s="223" t="s">
        <v>153</v>
      </c>
      <c r="D4" s="10"/>
      <c r="G4" s="11"/>
      <c r="H4" s="7"/>
      <c r="I4" s="12"/>
      <c r="J4" s="12"/>
      <c r="K4" s="7"/>
      <c r="M4" s="8"/>
      <c r="N4" s="175"/>
      <c r="P4" s="192">
        <f>G19</f>
        <v>36000</v>
      </c>
      <c r="Q4" s="193">
        <f>H19+I19+J19+K19</f>
        <v>36000</v>
      </c>
      <c r="R4" s="193">
        <f>G20+G25+G57</f>
        <v>36000</v>
      </c>
      <c r="S4" s="194">
        <f>'калькуляция (5)'!D45</f>
        <v>36000</v>
      </c>
      <c r="T4" s="196">
        <f>'резерв отпускных (5)'!D10+'резерв отпускных (5)'!D11+'резерв отпускных (5)'!D14+'резерв отпускных (5)'!D15</f>
        <v>21598</v>
      </c>
    </row>
    <row r="5" spans="3:14" s="6" customFormat="1" ht="12.75" customHeight="1">
      <c r="C5" s="223" t="s">
        <v>154</v>
      </c>
      <c r="G5" s="7"/>
      <c r="H5" s="7"/>
      <c r="I5" s="7"/>
      <c r="J5" s="7"/>
      <c r="K5" s="7"/>
      <c r="M5" s="8"/>
      <c r="N5" s="175"/>
    </row>
    <row r="6" spans="2:20" s="5" customFormat="1" ht="30.75" customHeight="1">
      <c r="B6" s="273" t="s">
        <v>192</v>
      </c>
      <c r="C6" s="272"/>
      <c r="D6" s="285" t="s">
        <v>204</v>
      </c>
      <c r="E6" s="272"/>
      <c r="F6" s="272"/>
      <c r="G6" s="272"/>
      <c r="H6" s="272"/>
      <c r="I6" s="272"/>
      <c r="J6" s="272"/>
      <c r="K6" s="272"/>
      <c r="M6" s="14"/>
      <c r="N6" s="176"/>
      <c r="P6" s="199">
        <f>E15-P4</f>
        <v>0</v>
      </c>
      <c r="Q6" s="199">
        <f>E15-Q4</f>
        <v>0</v>
      </c>
      <c r="R6" s="199">
        <f>E15-R4</f>
        <v>0</v>
      </c>
      <c r="S6" s="199">
        <f>E15-S4</f>
        <v>0</v>
      </c>
      <c r="T6" s="199">
        <f>G20-T4</f>
        <v>2</v>
      </c>
    </row>
    <row r="7" spans="2:14" s="6" customFormat="1" ht="18" customHeight="1">
      <c r="B7" s="277" t="s">
        <v>193</v>
      </c>
      <c r="C7" s="278"/>
      <c r="D7" s="278" t="s">
        <v>205</v>
      </c>
      <c r="E7" s="279"/>
      <c r="F7" s="25"/>
      <c r="G7" s="13"/>
      <c r="H7" s="7"/>
      <c r="I7" s="7"/>
      <c r="J7" s="7"/>
      <c r="K7" s="7"/>
      <c r="M7" s="8"/>
      <c r="N7" s="175"/>
    </row>
    <row r="8" spans="2:14" s="6" customFormat="1" ht="27" customHeight="1">
      <c r="B8" s="6" t="s">
        <v>41</v>
      </c>
      <c r="E8" s="173">
        <v>1</v>
      </c>
      <c r="F8" s="88"/>
      <c r="G8" s="7"/>
      <c r="H8" s="7"/>
      <c r="I8" s="7"/>
      <c r="J8" s="7"/>
      <c r="K8" s="7"/>
      <c r="M8" s="8"/>
      <c r="N8" s="175"/>
    </row>
    <row r="9" spans="2:15" s="6" customFormat="1" ht="18" customHeight="1">
      <c r="B9" s="6" t="s">
        <v>208</v>
      </c>
      <c r="E9" s="173">
        <v>2</v>
      </c>
      <c r="F9" s="15"/>
      <c r="G9" s="7"/>
      <c r="H9" s="7"/>
      <c r="I9" s="7"/>
      <c r="J9" s="7"/>
      <c r="K9" s="7"/>
      <c r="M9" s="8"/>
      <c r="N9" s="177"/>
      <c r="O9" s="16"/>
    </row>
    <row r="10" spans="2:14" s="6" customFormat="1" ht="18" customHeight="1">
      <c r="B10" s="6" t="s">
        <v>42</v>
      </c>
      <c r="E10" s="173"/>
      <c r="F10" s="15"/>
      <c r="G10" s="17"/>
      <c r="H10" s="7"/>
      <c r="I10" s="7"/>
      <c r="J10" s="7"/>
      <c r="K10" s="7"/>
      <c r="M10" s="8"/>
      <c r="N10" s="175"/>
    </row>
    <row r="11" spans="2:14" s="6" customFormat="1" ht="18" customHeight="1">
      <c r="B11" s="6" t="s">
        <v>45</v>
      </c>
      <c r="E11" s="172">
        <f>G12</f>
        <v>36</v>
      </c>
      <c r="F11" s="15"/>
      <c r="G11" s="7"/>
      <c r="H11" s="7"/>
      <c r="I11" s="7"/>
      <c r="J11" s="7"/>
      <c r="K11" s="7"/>
      <c r="M11" s="8"/>
      <c r="N11" s="175"/>
    </row>
    <row r="12" spans="2:14" s="6" customFormat="1" ht="18" customHeight="1">
      <c r="B12" s="6" t="s">
        <v>94</v>
      </c>
      <c r="E12" s="173">
        <f>E9*E11</f>
        <v>72</v>
      </c>
      <c r="G12" s="27">
        <f>H12+I12+J12+K12</f>
        <v>36</v>
      </c>
      <c r="H12" s="27">
        <v>4</v>
      </c>
      <c r="I12" s="27">
        <v>12</v>
      </c>
      <c r="J12" s="27">
        <v>12</v>
      </c>
      <c r="K12" s="27">
        <v>8</v>
      </c>
      <c r="M12" s="8"/>
      <c r="N12" s="175"/>
    </row>
    <row r="13" spans="2:14" s="6" customFormat="1" ht="18" customHeight="1">
      <c r="B13" s="6" t="s">
        <v>130</v>
      </c>
      <c r="E13" s="173">
        <v>500</v>
      </c>
      <c r="F13" s="15"/>
      <c r="G13" s="89"/>
      <c r="H13" s="89"/>
      <c r="I13" s="89"/>
      <c r="J13" s="89"/>
      <c r="K13" s="89"/>
      <c r="M13" s="8"/>
      <c r="N13" s="175"/>
    </row>
    <row r="14" spans="2:14" s="6" customFormat="1" ht="21" customHeight="1">
      <c r="B14" s="6" t="s">
        <v>46</v>
      </c>
      <c r="E14" s="173">
        <f>E9*E11*E13</f>
        <v>36000</v>
      </c>
      <c r="F14" s="6" t="s">
        <v>149</v>
      </c>
      <c r="G14" s="89"/>
      <c r="H14" s="89"/>
      <c r="I14" s="89"/>
      <c r="J14" s="89"/>
      <c r="K14" s="89"/>
      <c r="M14" s="8"/>
      <c r="N14" s="175"/>
    </row>
    <row r="15" spans="1:14" s="6" customFormat="1" ht="18" customHeight="1">
      <c r="A15" s="18"/>
      <c r="B15" s="18" t="s">
        <v>47</v>
      </c>
      <c r="C15" s="19"/>
      <c r="D15" s="19"/>
      <c r="E15" s="174">
        <f>E14*E8</f>
        <v>36000</v>
      </c>
      <c r="F15" s="19"/>
      <c r="G15" s="89"/>
      <c r="H15" s="89"/>
      <c r="I15" s="89"/>
      <c r="J15" s="89"/>
      <c r="K15" s="89"/>
      <c r="L15" s="6" t="s">
        <v>1</v>
      </c>
      <c r="M15" s="8"/>
      <c r="N15" s="175"/>
    </row>
    <row r="16" spans="1:14" s="6" customFormat="1" ht="18" customHeight="1">
      <c r="A16" s="18"/>
      <c r="B16" s="18"/>
      <c r="C16" s="19"/>
      <c r="D16" s="19"/>
      <c r="E16" s="20"/>
      <c r="F16" s="19"/>
      <c r="G16" s="89"/>
      <c r="H16" s="89"/>
      <c r="I16" s="89"/>
      <c r="J16" s="89"/>
      <c r="K16" s="89"/>
      <c r="M16" s="8"/>
      <c r="N16" s="175"/>
    </row>
    <row r="17" spans="1:23" s="6" customFormat="1" ht="18" customHeight="1">
      <c r="A17" s="18"/>
      <c r="B17" s="21" t="s">
        <v>29</v>
      </c>
      <c r="C17" s="22"/>
      <c r="D17" s="22"/>
      <c r="E17" s="22"/>
      <c r="F17" s="22"/>
      <c r="G17" s="148"/>
      <c r="H17" s="312">
        <v>2023</v>
      </c>
      <c r="I17" s="313"/>
      <c r="J17" s="314">
        <v>2024</v>
      </c>
      <c r="K17" s="315"/>
      <c r="L17" s="23" t="s">
        <v>39</v>
      </c>
      <c r="M17" s="8"/>
      <c r="N17" s="311" t="s">
        <v>145</v>
      </c>
      <c r="P17" s="24"/>
      <c r="Q17" s="25"/>
      <c r="R17" s="4"/>
      <c r="S17" s="4"/>
      <c r="T17" s="25"/>
      <c r="U17" s="25"/>
      <c r="V17" s="25"/>
      <c r="W17" s="25"/>
    </row>
    <row r="18" spans="1:14" s="6" customFormat="1" ht="18" customHeight="1">
      <c r="A18" s="18"/>
      <c r="B18" s="26"/>
      <c r="C18" s="116" t="s">
        <v>43</v>
      </c>
      <c r="D18" s="18"/>
      <c r="E18" s="18"/>
      <c r="F18" s="18"/>
      <c r="G18" s="149"/>
      <c r="H18" s="27" t="s">
        <v>32</v>
      </c>
      <c r="I18" s="27" t="s">
        <v>33</v>
      </c>
      <c r="J18" s="27" t="s">
        <v>30</v>
      </c>
      <c r="K18" s="27" t="s">
        <v>31</v>
      </c>
      <c r="L18" s="28" t="s">
        <v>40</v>
      </c>
      <c r="M18" s="8"/>
      <c r="N18" s="311"/>
    </row>
    <row r="19" spans="2:23" s="25" customFormat="1" ht="30" customHeight="1">
      <c r="B19" s="29"/>
      <c r="C19" s="30"/>
      <c r="D19" s="30"/>
      <c r="E19" s="30"/>
      <c r="F19" s="30"/>
      <c r="G19" s="150">
        <f>E15</f>
        <v>36000</v>
      </c>
      <c r="H19" s="151">
        <f>E15/G12*H12</f>
        <v>4000</v>
      </c>
      <c r="I19" s="151">
        <f>E15/G12*I12</f>
        <v>12000</v>
      </c>
      <c r="J19" s="151">
        <f>E15/G12*J12</f>
        <v>12000</v>
      </c>
      <c r="K19" s="151">
        <f>E15/G12*K12</f>
        <v>8000</v>
      </c>
      <c r="L19" s="31">
        <f>E13</f>
        <v>500</v>
      </c>
      <c r="M19" s="32" t="e">
        <f>G19/N9</f>
        <v>#DIV/0!</v>
      </c>
      <c r="N19" s="178">
        <f>G19/G19</f>
        <v>1</v>
      </c>
      <c r="O19" s="5"/>
      <c r="P19" s="6"/>
      <c r="Q19" s="6"/>
      <c r="R19" s="6"/>
      <c r="S19" s="6"/>
      <c r="T19" s="6"/>
      <c r="U19" s="6"/>
      <c r="V19" s="6"/>
      <c r="W19" s="6"/>
    </row>
    <row r="20" spans="2:24" s="6" customFormat="1" ht="24.75" customHeight="1" thickBot="1">
      <c r="B20" s="101" t="s">
        <v>28</v>
      </c>
      <c r="C20" s="102"/>
      <c r="D20" s="102"/>
      <c r="E20" s="102"/>
      <c r="F20" s="102"/>
      <c r="G20" s="152">
        <f>+H20+I20+J20+K20</f>
        <v>21600</v>
      </c>
      <c r="H20" s="152">
        <f>H19*0.6</f>
        <v>2400</v>
      </c>
      <c r="I20" s="152">
        <f>I19*0.6</f>
        <v>7200</v>
      </c>
      <c r="J20" s="152">
        <f>J19*0.6</f>
        <v>7200</v>
      </c>
      <c r="K20" s="152">
        <f>K19*0.6</f>
        <v>4800</v>
      </c>
      <c r="L20" s="33"/>
      <c r="M20" s="32">
        <f>G20/8208</f>
        <v>2.63</v>
      </c>
      <c r="N20" s="179">
        <f>G20/G19</f>
        <v>0.6</v>
      </c>
      <c r="O20" s="147"/>
      <c r="X20" s="142"/>
    </row>
    <row r="21" spans="2:22" s="6" customFormat="1" ht="17.25" customHeight="1">
      <c r="B21" s="103"/>
      <c r="C21" s="34"/>
      <c r="D21" s="34"/>
      <c r="E21" s="34"/>
      <c r="F21" s="35"/>
      <c r="G21" s="27"/>
      <c r="H21" s="148">
        <v>0</v>
      </c>
      <c r="I21" s="148"/>
      <c r="J21" s="148"/>
      <c r="K21" s="148"/>
      <c r="L21" s="36" t="e">
        <f>M21</f>
        <v>#DIV/0!</v>
      </c>
      <c r="M21" s="32" t="e">
        <f>G21/N9</f>
        <v>#DIV/0!</v>
      </c>
      <c r="N21" s="179"/>
      <c r="P21" s="181" t="s">
        <v>142</v>
      </c>
      <c r="Q21" s="182"/>
      <c r="R21" s="182"/>
      <c r="S21" s="182"/>
      <c r="T21" s="183"/>
      <c r="U21" s="18"/>
      <c r="V21" s="18"/>
    </row>
    <row r="22" spans="1:24" s="6" customFormat="1" ht="17.25" customHeight="1">
      <c r="A22" s="6" t="s">
        <v>124</v>
      </c>
      <c r="B22" s="99" t="s">
        <v>132</v>
      </c>
      <c r="C22" s="37"/>
      <c r="D22" s="37"/>
      <c r="E22" s="37"/>
      <c r="F22" s="37"/>
      <c r="G22" s="27">
        <f aca="true" t="shared" si="0" ref="G22:G32">SUM(H22:K22)</f>
        <v>16590</v>
      </c>
      <c r="H22" s="27">
        <f>H20/1.302</f>
        <v>1843</v>
      </c>
      <c r="I22" s="27">
        <f>I20/1.302</f>
        <v>5530</v>
      </c>
      <c r="J22" s="27">
        <f>J20/1.302</f>
        <v>5530</v>
      </c>
      <c r="K22" s="27">
        <f>K20/1.302</f>
        <v>3687</v>
      </c>
      <c r="L22" s="38" t="e">
        <f>M22</f>
        <v>#DIV/0!</v>
      </c>
      <c r="M22" s="32" t="e">
        <f>G22/N9</f>
        <v>#DIV/0!</v>
      </c>
      <c r="N22" s="179"/>
      <c r="P22" s="184" t="s">
        <v>123</v>
      </c>
      <c r="Q22" s="185">
        <f>E13*0.546/1.302/1.1357/1.3</f>
        <v>142.02</v>
      </c>
      <c r="R22" s="186" t="s">
        <v>143</v>
      </c>
      <c r="S22" s="186"/>
      <c r="T22" s="197" t="s">
        <v>189</v>
      </c>
      <c r="U22" s="186"/>
      <c r="V22" s="186"/>
      <c r="X22" s="142"/>
    </row>
    <row r="23" spans="1:22" s="6" customFormat="1" ht="17.25" customHeight="1" hidden="1">
      <c r="A23" s="5" t="s">
        <v>125</v>
      </c>
      <c r="B23" s="39" t="s">
        <v>129</v>
      </c>
      <c r="C23" s="39"/>
      <c r="D23" s="37"/>
      <c r="E23" s="37"/>
      <c r="F23" s="37"/>
      <c r="G23" s="27">
        <f t="shared" si="0"/>
        <v>0</v>
      </c>
      <c r="H23" s="27"/>
      <c r="I23" s="27"/>
      <c r="J23" s="27"/>
      <c r="K23" s="27"/>
      <c r="L23" s="40"/>
      <c r="M23" s="32">
        <f>G23/5760</f>
        <v>0</v>
      </c>
      <c r="N23" s="179"/>
      <c r="P23" s="187"/>
      <c r="Q23" s="18"/>
      <c r="R23" s="18"/>
      <c r="S23" s="18"/>
      <c r="T23" s="188"/>
      <c r="U23" s="18"/>
      <c r="V23" s="18"/>
    </row>
    <row r="24" spans="1:22" s="6" customFormat="1" ht="17.25" customHeight="1" thickBot="1">
      <c r="A24" s="5" t="s">
        <v>125</v>
      </c>
      <c r="B24" s="100" t="s">
        <v>133</v>
      </c>
      <c r="C24" s="41"/>
      <c r="D24" s="42"/>
      <c r="E24" s="42"/>
      <c r="F24" s="42"/>
      <c r="G24" s="27">
        <f t="shared" si="0"/>
        <v>5010</v>
      </c>
      <c r="H24" s="27">
        <f>H20-H22</f>
        <v>557</v>
      </c>
      <c r="I24" s="27">
        <f>I20-I22</f>
        <v>1670</v>
      </c>
      <c r="J24" s="27">
        <f>J20-J22</f>
        <v>1670</v>
      </c>
      <c r="K24" s="27">
        <f>K20-K22</f>
        <v>1113</v>
      </c>
      <c r="L24" s="43" t="e">
        <f>M24</f>
        <v>#DIV/0!</v>
      </c>
      <c r="M24" s="32" t="e">
        <f aca="true" t="shared" si="1" ref="M24:M32">G24/$N$9</f>
        <v>#DIV/0!</v>
      </c>
      <c r="N24" s="179"/>
      <c r="P24" s="189" t="s">
        <v>141</v>
      </c>
      <c r="Q24" s="190">
        <f>E13*0.054/1.302/1.1357/1.3</f>
        <v>14.05</v>
      </c>
      <c r="R24" s="191" t="s">
        <v>143</v>
      </c>
      <c r="S24" s="191"/>
      <c r="T24" s="198" t="s">
        <v>159</v>
      </c>
      <c r="U24" s="18"/>
      <c r="V24" s="18"/>
    </row>
    <row r="25" spans="2:16" s="6" customFormat="1" ht="24.75" customHeight="1">
      <c r="B25" s="117" t="s">
        <v>0</v>
      </c>
      <c r="C25" s="118"/>
      <c r="D25" s="118"/>
      <c r="E25" s="118"/>
      <c r="F25" s="118"/>
      <c r="G25" s="153">
        <f t="shared" si="0"/>
        <v>5868</v>
      </c>
      <c r="H25" s="152">
        <f>H26+H27+H28+H41+H42+H47</f>
        <v>652</v>
      </c>
      <c r="I25" s="152">
        <f>I26+I27+I28+I41+I42+I47</f>
        <v>1956</v>
      </c>
      <c r="J25" s="152">
        <f>J26+J27+J28+J41+J42+J47</f>
        <v>1956</v>
      </c>
      <c r="K25" s="152">
        <f>K26+K27+K28+K41+K42+K47</f>
        <v>1304</v>
      </c>
      <c r="L25" s="201" t="e">
        <f>L26+L27+L28+L41+L42+L47</f>
        <v>#DIV/0!</v>
      </c>
      <c r="M25" s="32" t="e">
        <f t="shared" si="1"/>
        <v>#DIV/0!</v>
      </c>
      <c r="N25" s="179"/>
      <c r="P25" s="8"/>
    </row>
    <row r="26" spans="2:15" s="44" customFormat="1" ht="17.25" customHeight="1" hidden="1">
      <c r="B26" s="45" t="s">
        <v>126</v>
      </c>
      <c r="C26" s="80"/>
      <c r="D26" s="80"/>
      <c r="E26" s="80"/>
      <c r="F26" s="80"/>
      <c r="G26" s="27">
        <f t="shared" si="0"/>
        <v>0</v>
      </c>
      <c r="H26" s="27"/>
      <c r="I26" s="27"/>
      <c r="J26" s="27"/>
      <c r="K26" s="154"/>
      <c r="L26" s="46">
        <f>(H26/3*$L$19)/($H$19/3)</f>
        <v>0</v>
      </c>
      <c r="M26" s="32" t="e">
        <f t="shared" si="1"/>
        <v>#DIV/0!</v>
      </c>
      <c r="N26" s="179"/>
      <c r="O26" s="5"/>
    </row>
    <row r="27" spans="2:15" s="44" customFormat="1" ht="17.25" customHeight="1" hidden="1">
      <c r="B27" s="45" t="s">
        <v>127</v>
      </c>
      <c r="C27" s="80"/>
      <c r="D27" s="80"/>
      <c r="E27" s="80"/>
      <c r="F27" s="80"/>
      <c r="G27" s="27">
        <f t="shared" si="0"/>
        <v>0</v>
      </c>
      <c r="H27" s="27"/>
      <c r="I27" s="27"/>
      <c r="J27" s="27"/>
      <c r="K27" s="27"/>
      <c r="L27" s="46"/>
      <c r="M27" s="32" t="e">
        <f t="shared" si="1"/>
        <v>#DIV/0!</v>
      </c>
      <c r="N27" s="179"/>
      <c r="O27" s="5"/>
    </row>
    <row r="28" spans="2:15" s="44" customFormat="1" ht="17.25" customHeight="1">
      <c r="B28" s="2" t="s">
        <v>106</v>
      </c>
      <c r="C28" s="105"/>
      <c r="D28" s="105"/>
      <c r="E28" s="105"/>
      <c r="F28" s="105"/>
      <c r="G28" s="145">
        <f t="shared" si="0"/>
        <v>3600</v>
      </c>
      <c r="H28" s="27">
        <f>H29+H32+H36</f>
        <v>400</v>
      </c>
      <c r="I28" s="27">
        <f>I29+I32+I36</f>
        <v>1200</v>
      </c>
      <c r="J28" s="27">
        <f>SUM(J29:J36)</f>
        <v>1200</v>
      </c>
      <c r="K28" s="27">
        <f>SUM(K29:K36)</f>
        <v>800</v>
      </c>
      <c r="L28" s="43" t="e">
        <f>L29+L32+L36</f>
        <v>#DIV/0!</v>
      </c>
      <c r="M28" s="32" t="e">
        <f>G28/$N$9</f>
        <v>#DIV/0!</v>
      </c>
      <c r="N28" s="179">
        <f>G28/G19</f>
        <v>0.1</v>
      </c>
      <c r="O28" s="5"/>
    </row>
    <row r="29" spans="2:15" s="47" customFormat="1" ht="17.25" customHeight="1">
      <c r="B29" s="39" t="s">
        <v>2</v>
      </c>
      <c r="C29" s="37"/>
      <c r="D29" s="37"/>
      <c r="E29" s="48">
        <v>0.065</v>
      </c>
      <c r="F29" s="49"/>
      <c r="G29" s="155">
        <f t="shared" si="0"/>
        <v>2340</v>
      </c>
      <c r="H29" s="156">
        <f>+H19*6.5%</f>
        <v>260</v>
      </c>
      <c r="I29" s="156">
        <f>+I19*6.5%</f>
        <v>780</v>
      </c>
      <c r="J29" s="156">
        <f>+J19*6.5%</f>
        <v>780</v>
      </c>
      <c r="K29" s="156">
        <f>+K19*6.5%</f>
        <v>520</v>
      </c>
      <c r="L29" s="38" t="e">
        <f>M29</f>
        <v>#DIV/0!</v>
      </c>
      <c r="M29" s="32" t="e">
        <f t="shared" si="1"/>
        <v>#DIV/0!</v>
      </c>
      <c r="N29" s="179"/>
      <c r="O29" s="6"/>
    </row>
    <row r="30" spans="2:15" s="50" customFormat="1" ht="17.25" customHeight="1" hidden="1">
      <c r="B30" s="51" t="s">
        <v>3</v>
      </c>
      <c r="C30" s="52"/>
      <c r="D30" s="52" t="s">
        <v>4</v>
      </c>
      <c r="E30" s="53"/>
      <c r="F30" s="52" t="s">
        <v>5</v>
      </c>
      <c r="G30" s="157">
        <f t="shared" si="0"/>
        <v>0</v>
      </c>
      <c r="H30" s="158"/>
      <c r="I30" s="158"/>
      <c r="J30" s="158"/>
      <c r="K30" s="158"/>
      <c r="L30" s="38">
        <f>(H30/3*$L$19)/($H$19/3)</f>
        <v>0</v>
      </c>
      <c r="M30" s="32" t="e">
        <f t="shared" si="1"/>
        <v>#DIV/0!</v>
      </c>
      <c r="N30" s="180"/>
      <c r="O30" s="54"/>
    </row>
    <row r="31" spans="2:15" s="50" customFormat="1" ht="17.25" customHeight="1" hidden="1">
      <c r="B31" s="55" t="s">
        <v>6</v>
      </c>
      <c r="C31" s="56">
        <f>C30</f>
        <v>0</v>
      </c>
      <c r="D31" s="56" t="s">
        <v>7</v>
      </c>
      <c r="E31" s="57"/>
      <c r="F31" s="56"/>
      <c r="G31" s="159">
        <f t="shared" si="0"/>
        <v>0</v>
      </c>
      <c r="H31" s="158"/>
      <c r="I31" s="158"/>
      <c r="J31" s="158"/>
      <c r="K31" s="158"/>
      <c r="L31" s="38">
        <f>(H31/3*$L$19)/($H$19/3)</f>
        <v>0</v>
      </c>
      <c r="M31" s="32" t="e">
        <f t="shared" si="1"/>
        <v>#DIV/0!</v>
      </c>
      <c r="N31" s="180"/>
      <c r="O31" s="54"/>
    </row>
    <row r="32" spans="2:15" s="47" customFormat="1" ht="17.25" customHeight="1">
      <c r="B32" s="39" t="s">
        <v>8</v>
      </c>
      <c r="C32" s="37"/>
      <c r="D32" s="37"/>
      <c r="E32" s="48">
        <v>0.021</v>
      </c>
      <c r="F32" s="49"/>
      <c r="G32" s="155">
        <f t="shared" si="0"/>
        <v>756</v>
      </c>
      <c r="H32" s="156">
        <f>+H19*2.1%</f>
        <v>84</v>
      </c>
      <c r="I32" s="156">
        <f>+I19*2.1%</f>
        <v>252</v>
      </c>
      <c r="J32" s="156">
        <f>+J19*2.1%</f>
        <v>252</v>
      </c>
      <c r="K32" s="156">
        <f>+K19*2.1%</f>
        <v>168</v>
      </c>
      <c r="L32" s="38" t="e">
        <f>M32</f>
        <v>#DIV/0!</v>
      </c>
      <c r="M32" s="32" t="e">
        <f t="shared" si="1"/>
        <v>#DIV/0!</v>
      </c>
      <c r="N32" s="175"/>
      <c r="O32" s="6"/>
    </row>
    <row r="33" spans="2:16" s="50" customFormat="1" ht="15.75" hidden="1">
      <c r="B33" s="58"/>
      <c r="C33" s="52"/>
      <c r="D33" s="52">
        <f>1.44*24*3</f>
        <v>103.68</v>
      </c>
      <c r="E33" s="53" t="s">
        <v>48</v>
      </c>
      <c r="F33" s="106"/>
      <c r="G33" s="160"/>
      <c r="H33" s="158"/>
      <c r="I33" s="158"/>
      <c r="J33" s="158"/>
      <c r="K33" s="158"/>
      <c r="L33" s="38">
        <f>(H33/3*$L$19)/($H$19/3)</f>
        <v>0</v>
      </c>
      <c r="M33" s="32" t="e">
        <f>F33/$N$9</f>
        <v>#DIV/0!</v>
      </c>
      <c r="N33" s="180"/>
      <c r="O33" s="54"/>
      <c r="P33" s="50">
        <v>224</v>
      </c>
    </row>
    <row r="34" spans="2:15" s="50" customFormat="1" ht="15.75" hidden="1">
      <c r="B34" s="52" t="s">
        <v>36</v>
      </c>
      <c r="C34" s="54"/>
      <c r="D34" s="52"/>
      <c r="E34" s="53"/>
      <c r="F34" s="52"/>
      <c r="G34" s="161"/>
      <c r="H34" s="158"/>
      <c r="I34" s="158"/>
      <c r="J34" s="158"/>
      <c r="K34" s="158"/>
      <c r="L34" s="38">
        <f>(H34/3*$L$19)/($H$19/3)</f>
        <v>0</v>
      </c>
      <c r="M34" s="32" t="e">
        <f aca="true" t="shared" si="2" ref="M34:M72">G34/$N$9</f>
        <v>#DIV/0!</v>
      </c>
      <c r="N34" s="180"/>
      <c r="O34" s="54"/>
    </row>
    <row r="35" spans="2:15" s="50" customFormat="1" ht="15.75" hidden="1">
      <c r="B35" s="59"/>
      <c r="C35" s="52" t="s">
        <v>37</v>
      </c>
      <c r="D35" s="52"/>
      <c r="E35" s="53"/>
      <c r="F35" s="59"/>
      <c r="G35" s="161" t="s">
        <v>38</v>
      </c>
      <c r="H35" s="158"/>
      <c r="I35" s="158"/>
      <c r="J35" s="158"/>
      <c r="K35" s="158"/>
      <c r="L35" s="38">
        <f>(H35/3*$L$19)/($H$19/3)</f>
        <v>0</v>
      </c>
      <c r="M35" s="32" t="e">
        <f t="shared" si="2"/>
        <v>#VALUE!</v>
      </c>
      <c r="N35" s="180"/>
      <c r="O35" s="54"/>
    </row>
    <row r="36" spans="2:15" s="47" customFormat="1" ht="17.25" customHeight="1">
      <c r="B36" s="60" t="s">
        <v>9</v>
      </c>
      <c r="C36" s="37"/>
      <c r="D36" s="37"/>
      <c r="E36" s="48">
        <v>0.014</v>
      </c>
      <c r="F36" s="61"/>
      <c r="G36" s="155">
        <f>SUM(H36:K36)</f>
        <v>504</v>
      </c>
      <c r="H36" s="156">
        <f>+H19*1.4%</f>
        <v>56</v>
      </c>
      <c r="I36" s="156">
        <f>+I19*1.4%</f>
        <v>168</v>
      </c>
      <c r="J36" s="156">
        <f>+J19*1.4%</f>
        <v>168</v>
      </c>
      <c r="K36" s="156">
        <f>+K19*1.4%</f>
        <v>112</v>
      </c>
      <c r="L36" s="38" t="e">
        <f>M36</f>
        <v>#DIV/0!</v>
      </c>
      <c r="M36" s="32" t="e">
        <f t="shared" si="2"/>
        <v>#DIV/0!</v>
      </c>
      <c r="N36" s="175"/>
      <c r="O36" s="6"/>
    </row>
    <row r="37" spans="2:16" s="50" customFormat="1" ht="18.75" hidden="1">
      <c r="B37" s="58" t="s">
        <v>10</v>
      </c>
      <c r="C37" s="52"/>
      <c r="D37" s="52">
        <f>50</f>
        <v>50</v>
      </c>
      <c r="E37" s="52" t="s">
        <v>49</v>
      </c>
      <c r="F37" s="54"/>
      <c r="G37" s="162"/>
      <c r="H37" s="163"/>
      <c r="I37" s="163"/>
      <c r="J37" s="163"/>
      <c r="K37" s="163"/>
      <c r="L37" s="62"/>
      <c r="M37" s="32" t="e">
        <f t="shared" si="2"/>
        <v>#DIV/0!</v>
      </c>
      <c r="N37" s="180"/>
      <c r="O37" s="54"/>
      <c r="P37" s="50">
        <v>224</v>
      </c>
    </row>
    <row r="38" spans="2:16" s="50" customFormat="1" ht="18.75" hidden="1">
      <c r="B38" s="58" t="s">
        <v>11</v>
      </c>
      <c r="C38" s="52"/>
      <c r="D38" s="52">
        <f>50</f>
        <v>50</v>
      </c>
      <c r="E38" s="52" t="s">
        <v>49</v>
      </c>
      <c r="F38" s="54"/>
      <c r="G38" s="162"/>
      <c r="H38" s="163"/>
      <c r="I38" s="163"/>
      <c r="J38" s="163"/>
      <c r="K38" s="163">
        <f>H38</f>
        <v>0</v>
      </c>
      <c r="L38" s="62"/>
      <c r="M38" s="32" t="e">
        <f t="shared" si="2"/>
        <v>#DIV/0!</v>
      </c>
      <c r="N38" s="180"/>
      <c r="O38" s="54"/>
      <c r="P38" s="50">
        <v>224</v>
      </c>
    </row>
    <row r="39" spans="2:15" s="47" customFormat="1" ht="11.25" customHeight="1" hidden="1">
      <c r="B39" s="63"/>
      <c r="C39" s="18"/>
      <c r="D39" s="18"/>
      <c r="E39" s="18"/>
      <c r="F39" s="18"/>
      <c r="G39" s="164"/>
      <c r="H39" s="164"/>
      <c r="I39" s="149"/>
      <c r="J39" s="165"/>
      <c r="K39" s="165"/>
      <c r="L39" s="62"/>
      <c r="M39" s="32" t="e">
        <f t="shared" si="2"/>
        <v>#DIV/0!</v>
      </c>
      <c r="N39" s="175"/>
      <c r="O39" s="6"/>
    </row>
    <row r="40" spans="2:15" s="44" customFormat="1" ht="18.75" customHeight="1" hidden="1">
      <c r="B40" s="45" t="s">
        <v>34</v>
      </c>
      <c r="C40" s="80"/>
      <c r="D40" s="80"/>
      <c r="E40" s="80"/>
      <c r="F40" s="80"/>
      <c r="G40" s="145"/>
      <c r="H40" s="146"/>
      <c r="I40" s="146"/>
      <c r="J40" s="146"/>
      <c r="K40" s="166"/>
      <c r="L40" s="64"/>
      <c r="M40" s="32" t="e">
        <f t="shared" si="2"/>
        <v>#DIV/0!</v>
      </c>
      <c r="N40" s="176"/>
      <c r="O40" s="5"/>
    </row>
    <row r="41" spans="2:15" s="44" customFormat="1" ht="20.25" customHeight="1" hidden="1">
      <c r="B41" s="77"/>
      <c r="C41" s="107"/>
      <c r="D41" s="107"/>
      <c r="E41" s="107"/>
      <c r="F41" s="107"/>
      <c r="G41" s="27">
        <f aca="true" t="shared" si="3" ref="G41:G51">SUM(H41:K41)</f>
        <v>0</v>
      </c>
      <c r="H41" s="167"/>
      <c r="I41" s="167"/>
      <c r="J41" s="167"/>
      <c r="K41" s="167"/>
      <c r="L41" s="46">
        <f>(H41/3*$L$19)/($H$19/3)</f>
        <v>0</v>
      </c>
      <c r="M41" s="32" t="e">
        <f t="shared" si="2"/>
        <v>#DIV/0!</v>
      </c>
      <c r="N41" s="176"/>
      <c r="O41" s="5"/>
    </row>
    <row r="42" spans="2:15" s="44" customFormat="1" ht="21" customHeight="1" hidden="1">
      <c r="B42" s="108" t="s">
        <v>35</v>
      </c>
      <c r="C42" s="109"/>
      <c r="D42" s="109"/>
      <c r="E42" s="109"/>
      <c r="F42" s="109"/>
      <c r="G42" s="27">
        <f t="shared" si="3"/>
        <v>0</v>
      </c>
      <c r="H42" s="146">
        <f>H43+H45+H46</f>
        <v>0</v>
      </c>
      <c r="I42" s="146">
        <f>I43+I45+I46</f>
        <v>0</v>
      </c>
      <c r="J42" s="146">
        <f>J43+J45+J46</f>
        <v>0</v>
      </c>
      <c r="K42" s="146">
        <f>K43+K45+K46</f>
        <v>0</v>
      </c>
      <c r="L42" s="40" t="e">
        <f>L43+L45+L46</f>
        <v>#DIV/0!</v>
      </c>
      <c r="M42" s="32" t="e">
        <f t="shared" si="2"/>
        <v>#DIV/0!</v>
      </c>
      <c r="N42" s="176"/>
      <c r="O42" s="5"/>
    </row>
    <row r="43" spans="2:15" s="67" customFormat="1" ht="15" customHeight="1" hidden="1">
      <c r="B43" s="60" t="s">
        <v>12</v>
      </c>
      <c r="C43" s="65"/>
      <c r="D43" s="65"/>
      <c r="E43" s="65"/>
      <c r="F43" s="61"/>
      <c r="G43" s="27">
        <f t="shared" si="3"/>
        <v>0</v>
      </c>
      <c r="H43" s="27"/>
      <c r="I43" s="27"/>
      <c r="J43" s="27"/>
      <c r="K43" s="27"/>
      <c r="L43" s="66">
        <f>(H43/3*$L$19)/($H$19/3)</f>
        <v>0</v>
      </c>
      <c r="M43" s="32" t="e">
        <f t="shared" si="2"/>
        <v>#DIV/0!</v>
      </c>
      <c r="N43" s="176"/>
      <c r="O43" s="5"/>
    </row>
    <row r="44" spans="2:15" s="50" customFormat="1" ht="15" customHeight="1" hidden="1">
      <c r="B44" s="58" t="s">
        <v>13</v>
      </c>
      <c r="C44" s="52"/>
      <c r="D44" s="52"/>
      <c r="E44" s="52"/>
      <c r="F44" s="52" t="s">
        <v>14</v>
      </c>
      <c r="G44" s="27">
        <f t="shared" si="3"/>
        <v>0</v>
      </c>
      <c r="H44" s="163">
        <f>ROUND(E44*0.976*1.18,1)</f>
        <v>0</v>
      </c>
      <c r="I44" s="163">
        <f>ROUND(E44*0.976*1.18,1)</f>
        <v>0</v>
      </c>
      <c r="J44" s="163">
        <f>ROUND(E44*0.976*1.18,1)</f>
        <v>0</v>
      </c>
      <c r="K44" s="163">
        <f>ROUND(E44*0.976*1.18,1)</f>
        <v>0</v>
      </c>
      <c r="L44" s="68">
        <f>(H44/3*$L$19)/($H$19/3)</f>
        <v>0</v>
      </c>
      <c r="M44" s="32" t="e">
        <f t="shared" si="2"/>
        <v>#DIV/0!</v>
      </c>
      <c r="N44" s="180"/>
      <c r="O44" s="54"/>
    </row>
    <row r="45" spans="2:15" s="47" customFormat="1" ht="15" customHeight="1" hidden="1">
      <c r="B45" s="39" t="s">
        <v>15</v>
      </c>
      <c r="C45" s="37"/>
      <c r="D45" s="37"/>
      <c r="E45" s="37"/>
      <c r="F45" s="49"/>
      <c r="G45" s="27">
        <f t="shared" si="3"/>
        <v>0</v>
      </c>
      <c r="H45" s="27"/>
      <c r="I45" s="27"/>
      <c r="J45" s="27"/>
      <c r="K45" s="27"/>
      <c r="L45" s="46" t="e">
        <f>M45</f>
        <v>#DIV/0!</v>
      </c>
      <c r="M45" s="32" t="e">
        <f t="shared" si="2"/>
        <v>#DIV/0!</v>
      </c>
      <c r="N45" s="175"/>
      <c r="O45" s="6"/>
    </row>
    <row r="46" spans="2:15" s="50" customFormat="1" ht="15" customHeight="1" hidden="1">
      <c r="B46" s="39" t="s">
        <v>16</v>
      </c>
      <c r="C46" s="69"/>
      <c r="D46" s="69"/>
      <c r="E46" s="69"/>
      <c r="F46" s="69"/>
      <c r="G46" s="27">
        <f t="shared" si="3"/>
        <v>0</v>
      </c>
      <c r="H46" s="27"/>
      <c r="I46" s="27"/>
      <c r="J46" s="27"/>
      <c r="K46" s="27"/>
      <c r="L46" s="70" t="e">
        <f>M46</f>
        <v>#DIV/0!</v>
      </c>
      <c r="M46" s="32" t="e">
        <f t="shared" si="2"/>
        <v>#DIV/0!</v>
      </c>
      <c r="N46" s="180"/>
      <c r="O46" s="54"/>
    </row>
    <row r="47" spans="2:15" s="44" customFormat="1" ht="18" customHeight="1">
      <c r="B47" s="2" t="s">
        <v>128</v>
      </c>
      <c r="C47" s="105"/>
      <c r="D47" s="105"/>
      <c r="E47" s="105"/>
      <c r="F47" s="105"/>
      <c r="G47" s="27">
        <f t="shared" si="3"/>
        <v>2268</v>
      </c>
      <c r="H47" s="27">
        <f>SUM(H48:H51)</f>
        <v>252</v>
      </c>
      <c r="I47" s="27">
        <f>SUM(I48:I51)</f>
        <v>756</v>
      </c>
      <c r="J47" s="27">
        <f>SUM(J48:J51)</f>
        <v>756</v>
      </c>
      <c r="K47" s="27">
        <f>SUM(K48:K51)</f>
        <v>504</v>
      </c>
      <c r="L47" s="46" t="e">
        <f>L48+L49+L50</f>
        <v>#DIV/0!</v>
      </c>
      <c r="M47" s="32" t="e">
        <f t="shared" si="2"/>
        <v>#DIV/0!</v>
      </c>
      <c r="N47" s="176"/>
      <c r="O47" s="5"/>
    </row>
    <row r="48" spans="2:15" s="47" customFormat="1" ht="32.25" customHeight="1">
      <c r="B48" s="308" t="s">
        <v>150</v>
      </c>
      <c r="C48" s="309"/>
      <c r="D48" s="309"/>
      <c r="E48" s="71">
        <v>0.05</v>
      </c>
      <c r="F48" s="37"/>
      <c r="G48" s="27">
        <f t="shared" si="3"/>
        <v>1800</v>
      </c>
      <c r="H48" s="27">
        <f>H19*5%</f>
        <v>200</v>
      </c>
      <c r="I48" s="27">
        <f>I19*5%</f>
        <v>600</v>
      </c>
      <c r="J48" s="27">
        <f>J19*5%</f>
        <v>600</v>
      </c>
      <c r="K48" s="27">
        <f>K19*5%</f>
        <v>400</v>
      </c>
      <c r="L48" s="70" t="e">
        <f>M48</f>
        <v>#DIV/0!</v>
      </c>
      <c r="M48" s="32" t="e">
        <f t="shared" si="2"/>
        <v>#DIV/0!</v>
      </c>
      <c r="N48" s="179">
        <f>G48/G19</f>
        <v>0.05</v>
      </c>
      <c r="O48" s="6"/>
    </row>
    <row r="49" spans="2:15" s="47" customFormat="1" ht="18.75" customHeight="1">
      <c r="B49" s="39" t="s">
        <v>105</v>
      </c>
      <c r="C49" s="42"/>
      <c r="D49" s="42"/>
      <c r="E49" s="121">
        <v>0.013</v>
      </c>
      <c r="F49" s="85"/>
      <c r="G49" s="27">
        <f>SUM(H49:K49)</f>
        <v>468</v>
      </c>
      <c r="H49" s="27">
        <f>H19*1.3%</f>
        <v>52</v>
      </c>
      <c r="I49" s="27">
        <f>I19*1.3%</f>
        <v>156</v>
      </c>
      <c r="J49" s="27">
        <f>J19*1.3%</f>
        <v>156</v>
      </c>
      <c r="K49" s="27">
        <f>K19*1.3%</f>
        <v>104</v>
      </c>
      <c r="L49" s="40">
        <f>G49/7296</f>
        <v>0.1</v>
      </c>
      <c r="M49" s="32" t="e">
        <f t="shared" si="2"/>
        <v>#DIV/0!</v>
      </c>
      <c r="N49" s="179">
        <f>G49/G19</f>
        <v>0.013</v>
      </c>
      <c r="O49" s="6"/>
    </row>
    <row r="50" spans="2:15" s="47" customFormat="1" ht="15" customHeight="1" hidden="1">
      <c r="B50" s="39" t="s">
        <v>50</v>
      </c>
      <c r="C50" s="65"/>
      <c r="D50" s="65"/>
      <c r="E50" s="65"/>
      <c r="F50" s="65"/>
      <c r="G50" s="27">
        <f t="shared" si="3"/>
        <v>0</v>
      </c>
      <c r="H50" s="27"/>
      <c r="I50" s="27"/>
      <c r="J50" s="27"/>
      <c r="K50" s="27"/>
      <c r="L50" s="40">
        <f>L51</f>
        <v>0</v>
      </c>
      <c r="M50" s="32" t="e">
        <f t="shared" si="2"/>
        <v>#DIV/0!</v>
      </c>
      <c r="N50" s="175"/>
      <c r="O50" s="6"/>
    </row>
    <row r="51" spans="2:15" s="50" customFormat="1" ht="16.5" customHeight="1" hidden="1">
      <c r="B51" s="1" t="s">
        <v>101</v>
      </c>
      <c r="C51" s="72"/>
      <c r="D51" s="72"/>
      <c r="E51" s="73">
        <v>0.6</v>
      </c>
      <c r="F51" s="72"/>
      <c r="G51" s="27">
        <f t="shared" si="3"/>
        <v>0</v>
      </c>
      <c r="H51" s="27">
        <f>H19*60%-H20</f>
        <v>0</v>
      </c>
      <c r="I51" s="27">
        <f>I19*60%-I20</f>
        <v>0</v>
      </c>
      <c r="J51" s="27">
        <f>J19*60%-J20</f>
        <v>0</v>
      </c>
      <c r="K51" s="27">
        <f>K19*60%-K20</f>
        <v>0</v>
      </c>
      <c r="L51" s="74">
        <f>G51/1440</f>
        <v>0</v>
      </c>
      <c r="M51" s="32" t="e">
        <f t="shared" si="2"/>
        <v>#DIV/0!</v>
      </c>
      <c r="N51" s="180"/>
      <c r="O51" s="54"/>
    </row>
    <row r="52" spans="2:15" s="50" customFormat="1" ht="15" customHeight="1" hidden="1">
      <c r="B52" s="58"/>
      <c r="C52" s="52"/>
      <c r="D52" s="52"/>
      <c r="E52" s="52"/>
      <c r="F52" s="52"/>
      <c r="G52" s="145"/>
      <c r="H52" s="146"/>
      <c r="I52" s="146"/>
      <c r="J52" s="146"/>
      <c r="K52" s="166"/>
      <c r="L52" s="75"/>
      <c r="M52" s="32" t="e">
        <f t="shared" si="2"/>
        <v>#DIV/0!</v>
      </c>
      <c r="N52" s="180"/>
      <c r="O52" s="54"/>
    </row>
    <row r="53" spans="1:14" s="6" customFormat="1" ht="15" customHeight="1" hidden="1">
      <c r="A53" s="18"/>
      <c r="B53" s="110" t="s">
        <v>17</v>
      </c>
      <c r="C53" s="111"/>
      <c r="D53" s="111"/>
      <c r="E53" s="111"/>
      <c r="F53" s="111"/>
      <c r="G53" s="145">
        <f aca="true" t="shared" si="4" ref="G53:L53">G54+G55</f>
        <v>0</v>
      </c>
      <c r="H53" s="145">
        <f t="shared" si="4"/>
        <v>0</v>
      </c>
      <c r="I53" s="145">
        <f t="shared" si="4"/>
        <v>0</v>
      </c>
      <c r="J53" s="145">
        <f t="shared" si="4"/>
        <v>0</v>
      </c>
      <c r="K53" s="145">
        <f t="shared" si="4"/>
        <v>0</v>
      </c>
      <c r="L53" s="76" t="e">
        <f t="shared" si="4"/>
        <v>#DIV/0!</v>
      </c>
      <c r="M53" s="32" t="e">
        <f t="shared" si="2"/>
        <v>#DIV/0!</v>
      </c>
      <c r="N53" s="175"/>
    </row>
    <row r="54" spans="1:14" s="6" customFormat="1" ht="15" customHeight="1" hidden="1">
      <c r="A54" s="18"/>
      <c r="B54" s="58" t="s">
        <v>56</v>
      </c>
      <c r="C54" s="104"/>
      <c r="D54" s="104"/>
      <c r="E54" s="104"/>
      <c r="F54" s="104"/>
      <c r="G54" s="27"/>
      <c r="H54" s="27"/>
      <c r="I54" s="27"/>
      <c r="J54" s="27"/>
      <c r="K54" s="27"/>
      <c r="L54" s="76" t="e">
        <f>M54</f>
        <v>#DIV/0!</v>
      </c>
      <c r="M54" s="32" t="e">
        <f t="shared" si="2"/>
        <v>#DIV/0!</v>
      </c>
      <c r="N54" s="175"/>
    </row>
    <row r="55" spans="1:14" s="6" customFormat="1" ht="15" customHeight="1" hidden="1">
      <c r="A55" s="18"/>
      <c r="B55" s="77" t="s">
        <v>55</v>
      </c>
      <c r="C55" s="112"/>
      <c r="D55" s="112"/>
      <c r="E55" s="112"/>
      <c r="F55" s="113"/>
      <c r="G55" s="148">
        <f>SUM(H55:K55)</f>
        <v>0</v>
      </c>
      <c r="H55" s="148"/>
      <c r="I55" s="168"/>
      <c r="J55" s="148"/>
      <c r="K55" s="169"/>
      <c r="L55" s="75" t="e">
        <f>M55</f>
        <v>#DIV/0!</v>
      </c>
      <c r="M55" s="32" t="e">
        <f t="shared" si="2"/>
        <v>#DIV/0!</v>
      </c>
      <c r="N55" s="175"/>
    </row>
    <row r="56" spans="1:14" s="6" customFormat="1" ht="15" customHeight="1" hidden="1">
      <c r="A56" s="18"/>
      <c r="B56" s="114"/>
      <c r="C56" s="115"/>
      <c r="D56" s="115"/>
      <c r="E56" s="115"/>
      <c r="F56" s="115"/>
      <c r="G56" s="170">
        <f>SUM(H56:K56)</f>
        <v>0</v>
      </c>
      <c r="H56" s="170"/>
      <c r="I56" s="170"/>
      <c r="J56" s="170"/>
      <c r="K56" s="170"/>
      <c r="L56" s="78">
        <f>G56/7296</f>
        <v>0</v>
      </c>
      <c r="M56" s="32" t="e">
        <f t="shared" si="2"/>
        <v>#DIV/0!</v>
      </c>
      <c r="N56" s="175"/>
    </row>
    <row r="57" spans="1:14" s="6" customFormat="1" ht="24.75" customHeight="1">
      <c r="A57" s="18"/>
      <c r="B57" s="119" t="s">
        <v>131</v>
      </c>
      <c r="C57" s="120"/>
      <c r="D57" s="120"/>
      <c r="E57" s="120"/>
      <c r="F57" s="120"/>
      <c r="G57" s="153">
        <f>SUM(H57:K57)</f>
        <v>8532</v>
      </c>
      <c r="H57" s="153">
        <f>H64+H58</f>
        <v>948</v>
      </c>
      <c r="I57" s="153">
        <f>I64+I58</f>
        <v>2844</v>
      </c>
      <c r="J57" s="153">
        <f>J64+J58</f>
        <v>2844</v>
      </c>
      <c r="K57" s="153">
        <f>K64+K58</f>
        <v>1896</v>
      </c>
      <c r="L57" s="79" t="e">
        <f>L64+L58</f>
        <v>#DIV/0!</v>
      </c>
      <c r="M57" s="32" t="e">
        <f t="shared" si="2"/>
        <v>#DIV/0!</v>
      </c>
      <c r="N57" s="179">
        <f>G57/G19</f>
        <v>0.237</v>
      </c>
    </row>
    <row r="58" spans="2:14" s="5" customFormat="1" ht="17.25" customHeight="1">
      <c r="B58" s="3" t="s">
        <v>108</v>
      </c>
      <c r="C58" s="80"/>
      <c r="D58" s="80"/>
      <c r="E58" s="80"/>
      <c r="F58" s="80"/>
      <c r="G58" s="171">
        <f aca="true" t="shared" si="5" ref="G58:G75">SUM(H58:K58)</f>
        <v>8532</v>
      </c>
      <c r="H58" s="171">
        <f>H59</f>
        <v>948</v>
      </c>
      <c r="I58" s="171">
        <f>I59</f>
        <v>2844</v>
      </c>
      <c r="J58" s="171">
        <f>J59</f>
        <v>2844</v>
      </c>
      <c r="K58" s="171">
        <f>K59</f>
        <v>1896</v>
      </c>
      <c r="L58" s="81" t="e">
        <f>M58</f>
        <v>#DIV/0!</v>
      </c>
      <c r="M58" s="32" t="e">
        <f t="shared" si="2"/>
        <v>#DIV/0!</v>
      </c>
      <c r="N58" s="176"/>
    </row>
    <row r="59" spans="2:15" s="67" customFormat="1" ht="17.25" customHeight="1">
      <c r="B59" s="39" t="s">
        <v>54</v>
      </c>
      <c r="C59" s="37"/>
      <c r="D59" s="37"/>
      <c r="E59" s="37"/>
      <c r="F59" s="37"/>
      <c r="G59" s="27">
        <f>SUM(H59:K59)</f>
        <v>8532</v>
      </c>
      <c r="H59" s="27">
        <f>H19*23.7%</f>
        <v>948</v>
      </c>
      <c r="I59" s="27">
        <f>I19*23.7%</f>
        <v>2844</v>
      </c>
      <c r="J59" s="27">
        <f>J19*23.7%</f>
        <v>2844</v>
      </c>
      <c r="K59" s="27">
        <f>K19*23.7%</f>
        <v>1896</v>
      </c>
      <c r="L59" s="81" t="e">
        <f>G59/$N$9</f>
        <v>#DIV/0!</v>
      </c>
      <c r="M59" s="32" t="e">
        <f t="shared" si="2"/>
        <v>#DIV/0!</v>
      </c>
      <c r="N59" s="176"/>
      <c r="O59" s="5"/>
    </row>
    <row r="60" spans="2:15" s="67" customFormat="1" ht="17.25" customHeight="1" hidden="1">
      <c r="B60" s="39" t="s">
        <v>18</v>
      </c>
      <c r="C60" s="37"/>
      <c r="D60" s="37"/>
      <c r="E60" s="37"/>
      <c r="F60" s="37"/>
      <c r="G60" s="27">
        <f t="shared" si="5"/>
        <v>0</v>
      </c>
      <c r="H60" s="27"/>
      <c r="I60" s="27"/>
      <c r="J60" s="27"/>
      <c r="K60" s="27"/>
      <c r="L60" s="82" t="e">
        <f>G60/$N$9</f>
        <v>#DIV/0!</v>
      </c>
      <c r="M60" s="32" t="e">
        <f t="shared" si="2"/>
        <v>#DIV/0!</v>
      </c>
      <c r="N60" s="176"/>
      <c r="O60" s="5"/>
    </row>
    <row r="61" spans="2:15" s="67" customFormat="1" ht="17.25" customHeight="1" hidden="1">
      <c r="B61" s="60" t="s">
        <v>96</v>
      </c>
      <c r="C61" s="65"/>
      <c r="D61" s="65"/>
      <c r="E61" s="65"/>
      <c r="F61" s="65"/>
      <c r="G61" s="27">
        <f t="shared" si="5"/>
        <v>0</v>
      </c>
      <c r="H61" s="27"/>
      <c r="I61" s="27"/>
      <c r="J61" s="27"/>
      <c r="K61" s="27"/>
      <c r="L61" s="82"/>
      <c r="M61" s="32"/>
      <c r="N61" s="176"/>
      <c r="O61" s="5"/>
    </row>
    <row r="62" spans="2:15" s="47" customFormat="1" ht="17.25" customHeight="1" hidden="1">
      <c r="B62" s="60" t="s">
        <v>51</v>
      </c>
      <c r="C62" s="65"/>
      <c r="D62" s="65"/>
      <c r="E62" s="65"/>
      <c r="F62" s="65"/>
      <c r="G62" s="27">
        <f t="shared" si="5"/>
        <v>0</v>
      </c>
      <c r="H62" s="27"/>
      <c r="I62" s="27"/>
      <c r="J62" s="27"/>
      <c r="K62" s="27"/>
      <c r="L62" s="82" t="e">
        <f>M62</f>
        <v>#DIV/0!</v>
      </c>
      <c r="M62" s="32" t="e">
        <f t="shared" si="2"/>
        <v>#DIV/0!</v>
      </c>
      <c r="N62" s="175"/>
      <c r="O62" s="6"/>
    </row>
    <row r="63" spans="2:15" s="47" customFormat="1" ht="17.25" customHeight="1" hidden="1">
      <c r="B63" s="39" t="s">
        <v>53</v>
      </c>
      <c r="C63" s="37"/>
      <c r="D63" s="37"/>
      <c r="E63" s="37"/>
      <c r="F63" s="37"/>
      <c r="G63" s="27">
        <f t="shared" si="5"/>
        <v>0</v>
      </c>
      <c r="H63" s="27"/>
      <c r="I63" s="27"/>
      <c r="J63" s="27"/>
      <c r="K63" s="27"/>
      <c r="L63" s="82" t="e">
        <f>G63/$N$9</f>
        <v>#DIV/0!</v>
      </c>
      <c r="M63" s="32" t="e">
        <f t="shared" si="2"/>
        <v>#DIV/0!</v>
      </c>
      <c r="N63" s="175"/>
      <c r="O63" s="6"/>
    </row>
    <row r="64" spans="2:15" s="44" customFormat="1" ht="16.5" customHeight="1" hidden="1">
      <c r="B64" s="2" t="s">
        <v>107</v>
      </c>
      <c r="C64" s="105"/>
      <c r="D64" s="105"/>
      <c r="E64" s="105"/>
      <c r="F64" s="105"/>
      <c r="G64" s="27">
        <f t="shared" si="5"/>
        <v>0</v>
      </c>
      <c r="H64" s="27"/>
      <c r="I64" s="27"/>
      <c r="J64" s="27"/>
      <c r="K64" s="27"/>
      <c r="L64" s="81" t="e">
        <f>L66+L67+L68</f>
        <v>#DIV/0!</v>
      </c>
      <c r="M64" s="32" t="e">
        <f t="shared" si="2"/>
        <v>#DIV/0!</v>
      </c>
      <c r="N64" s="176"/>
      <c r="O64" s="5"/>
    </row>
    <row r="65" spans="2:15" s="67" customFormat="1" ht="15" customHeight="1" hidden="1">
      <c r="B65" s="39" t="s">
        <v>19</v>
      </c>
      <c r="C65" s="83"/>
      <c r="D65" s="83"/>
      <c r="E65" s="83"/>
      <c r="F65" s="83"/>
      <c r="G65" s="27">
        <f t="shared" si="5"/>
        <v>0</v>
      </c>
      <c r="H65" s="27"/>
      <c r="I65" s="27"/>
      <c r="J65" s="27"/>
      <c r="K65" s="27"/>
      <c r="L65" s="82" t="e">
        <f>G65/$N$9</f>
        <v>#DIV/0!</v>
      </c>
      <c r="M65" s="32" t="e">
        <f t="shared" si="2"/>
        <v>#DIV/0!</v>
      </c>
      <c r="N65" s="176"/>
      <c r="O65" s="5"/>
    </row>
    <row r="66" spans="2:15" s="67" customFormat="1" ht="15" customHeight="1" hidden="1">
      <c r="B66" s="39" t="s">
        <v>20</v>
      </c>
      <c r="C66" s="37"/>
      <c r="D66" s="37"/>
      <c r="E66" s="37"/>
      <c r="F66" s="37"/>
      <c r="G66" s="27">
        <f t="shared" si="5"/>
        <v>0</v>
      </c>
      <c r="H66" s="27"/>
      <c r="I66" s="27"/>
      <c r="J66" s="27"/>
      <c r="K66" s="27"/>
      <c r="L66" s="82" t="e">
        <f>G66/$N$9</f>
        <v>#DIV/0!</v>
      </c>
      <c r="M66" s="32" t="e">
        <f t="shared" si="2"/>
        <v>#DIV/0!</v>
      </c>
      <c r="N66" s="176"/>
      <c r="O66" s="5"/>
    </row>
    <row r="67" spans="2:15" s="47" customFormat="1" ht="15" customHeight="1" hidden="1">
      <c r="B67" s="39" t="s">
        <v>21</v>
      </c>
      <c r="C67" s="37"/>
      <c r="D67" s="37"/>
      <c r="E67" s="37"/>
      <c r="F67" s="37"/>
      <c r="G67" s="27">
        <f t="shared" si="5"/>
        <v>0</v>
      </c>
      <c r="H67" s="27"/>
      <c r="I67" s="27"/>
      <c r="J67" s="27"/>
      <c r="K67" s="27"/>
      <c r="L67" s="82" t="e">
        <f>G67/$N$9</f>
        <v>#DIV/0!</v>
      </c>
      <c r="M67" s="32" t="e">
        <f t="shared" si="2"/>
        <v>#DIV/0!</v>
      </c>
      <c r="N67" s="175"/>
      <c r="O67" s="6"/>
    </row>
    <row r="68" spans="2:15" s="47" customFormat="1" ht="15" customHeight="1" hidden="1">
      <c r="B68" s="39" t="s">
        <v>22</v>
      </c>
      <c r="C68" s="37"/>
      <c r="D68" s="37"/>
      <c r="E68" s="37"/>
      <c r="F68" s="37"/>
      <c r="G68" s="27">
        <f t="shared" si="5"/>
        <v>0</v>
      </c>
      <c r="H68" s="27">
        <f>SUM(H69:H74)</f>
        <v>0</v>
      </c>
      <c r="I68" s="27">
        <f>SUM(I69:I74)</f>
        <v>0</v>
      </c>
      <c r="J68" s="27">
        <f>SUM(J69:J74)</f>
        <v>0</v>
      </c>
      <c r="K68" s="27">
        <f>SUM(K69:K74)</f>
        <v>0</v>
      </c>
      <c r="L68" s="76" t="e">
        <f>SUM(L69:L74)</f>
        <v>#DIV/0!</v>
      </c>
      <c r="M68" s="32" t="e">
        <f t="shared" si="2"/>
        <v>#DIV/0!</v>
      </c>
      <c r="N68" s="175"/>
      <c r="O68" s="6"/>
    </row>
    <row r="69" spans="2:15" s="47" customFormat="1" ht="15" customHeight="1" hidden="1">
      <c r="B69" s="122" t="s">
        <v>23</v>
      </c>
      <c r="C69" s="123"/>
      <c r="D69" s="123"/>
      <c r="E69" s="123"/>
      <c r="F69" s="124"/>
      <c r="G69" s="27">
        <f t="shared" si="5"/>
        <v>0</v>
      </c>
      <c r="H69" s="27"/>
      <c r="I69" s="27"/>
      <c r="J69" s="27"/>
      <c r="K69" s="27"/>
      <c r="L69" s="70" t="e">
        <f aca="true" t="shared" si="6" ref="L69:L74">M69</f>
        <v>#DIV/0!</v>
      </c>
      <c r="M69" s="32" t="e">
        <f t="shared" si="2"/>
        <v>#DIV/0!</v>
      </c>
      <c r="N69" s="175"/>
      <c r="O69" s="6"/>
    </row>
    <row r="70" spans="2:15" s="47" customFormat="1" ht="16.5" customHeight="1" hidden="1">
      <c r="B70" s="60" t="s">
        <v>24</v>
      </c>
      <c r="C70" s="65"/>
      <c r="D70" s="65"/>
      <c r="E70" s="65"/>
      <c r="F70" s="86"/>
      <c r="G70" s="166">
        <f t="shared" si="5"/>
        <v>0</v>
      </c>
      <c r="H70" s="27"/>
      <c r="I70" s="27"/>
      <c r="J70" s="27"/>
      <c r="K70" s="27"/>
      <c r="L70" s="43" t="e">
        <f t="shared" si="6"/>
        <v>#DIV/0!</v>
      </c>
      <c r="M70" s="32" t="e">
        <f t="shared" si="2"/>
        <v>#DIV/0!</v>
      </c>
      <c r="N70" s="175"/>
      <c r="O70" s="6"/>
    </row>
    <row r="71" spans="2:15" s="47" customFormat="1" ht="15" customHeight="1" hidden="1">
      <c r="B71" s="60" t="s">
        <v>25</v>
      </c>
      <c r="C71" s="65"/>
      <c r="D71" s="65"/>
      <c r="E71" s="65"/>
      <c r="F71" s="86"/>
      <c r="G71" s="27">
        <f>+H71+I71+J71+K71</f>
        <v>0</v>
      </c>
      <c r="H71" s="27"/>
      <c r="I71" s="27"/>
      <c r="J71" s="27"/>
      <c r="K71" s="27"/>
      <c r="L71" s="87" t="e">
        <f>L19-L70-L25</f>
        <v>#DIV/0!</v>
      </c>
      <c r="M71" s="8" t="e">
        <f>G74/$N$9</f>
        <v>#DIV/0!</v>
      </c>
      <c r="N71" s="175"/>
      <c r="O71" s="6"/>
    </row>
    <row r="72" spans="2:15" s="47" customFormat="1" ht="15" customHeight="1" hidden="1">
      <c r="B72" s="39" t="s">
        <v>98</v>
      </c>
      <c r="C72" s="37"/>
      <c r="D72" s="37"/>
      <c r="E72" s="37"/>
      <c r="F72" s="84"/>
      <c r="G72" s="27">
        <f t="shared" si="5"/>
        <v>0</v>
      </c>
      <c r="H72" s="27"/>
      <c r="I72" s="27"/>
      <c r="J72" s="27"/>
      <c r="K72" s="27"/>
      <c r="L72" s="82" t="e">
        <f t="shared" si="6"/>
        <v>#DIV/0!</v>
      </c>
      <c r="M72" s="8" t="e">
        <f t="shared" si="2"/>
        <v>#DIV/0!</v>
      </c>
      <c r="N72" s="175"/>
      <c r="O72" s="6"/>
    </row>
    <row r="73" spans="2:15" s="47" customFormat="1" ht="15" customHeight="1" hidden="1">
      <c r="B73" s="39" t="s">
        <v>52</v>
      </c>
      <c r="C73" s="37"/>
      <c r="D73" s="37"/>
      <c r="E73" s="37"/>
      <c r="F73" s="84"/>
      <c r="G73" s="27">
        <f t="shared" si="5"/>
        <v>0</v>
      </c>
      <c r="H73" s="27"/>
      <c r="I73" s="27"/>
      <c r="J73" s="27"/>
      <c r="K73" s="27"/>
      <c r="L73" s="46">
        <f t="shared" si="6"/>
        <v>0</v>
      </c>
      <c r="M73" s="8"/>
      <c r="N73" s="175"/>
      <c r="O73" s="6"/>
    </row>
    <row r="74" spans="2:15" s="47" customFormat="1" ht="15" customHeight="1" hidden="1">
      <c r="B74" s="39" t="s">
        <v>26</v>
      </c>
      <c r="C74" s="37"/>
      <c r="D74" s="37"/>
      <c r="E74" s="37"/>
      <c r="F74" s="84"/>
      <c r="G74" s="27">
        <f>SUM(H74:K74)</f>
        <v>0</v>
      </c>
      <c r="H74" s="27"/>
      <c r="I74" s="27"/>
      <c r="J74" s="27"/>
      <c r="K74" s="27"/>
      <c r="L74" s="82">
        <f t="shared" si="6"/>
        <v>0</v>
      </c>
      <c r="M74" s="8"/>
      <c r="N74" s="175"/>
      <c r="O74" s="6"/>
    </row>
    <row r="75" spans="2:15" s="50" customFormat="1" ht="15" customHeight="1" hidden="1">
      <c r="B75" s="1" t="s">
        <v>27</v>
      </c>
      <c r="C75" s="72"/>
      <c r="D75" s="72"/>
      <c r="E75" s="72"/>
      <c r="F75" s="72"/>
      <c r="G75" s="27">
        <f t="shared" si="5"/>
        <v>0</v>
      </c>
      <c r="H75" s="27"/>
      <c r="I75" s="27"/>
      <c r="J75" s="27"/>
      <c r="K75" s="27"/>
      <c r="L75" s="46">
        <f>G75/7296</f>
        <v>0</v>
      </c>
      <c r="M75" s="8">
        <f>G75/7296</f>
        <v>0</v>
      </c>
      <c r="N75" s="180"/>
      <c r="O75" s="54"/>
    </row>
    <row r="76" spans="2:12" ht="36.75" customHeight="1">
      <c r="B76" s="225" t="s">
        <v>156</v>
      </c>
      <c r="C76" s="225"/>
      <c r="D76" s="225"/>
      <c r="E76" s="227"/>
      <c r="F76" s="225" t="s">
        <v>157</v>
      </c>
      <c r="G76" s="226"/>
      <c r="H76" s="7"/>
      <c r="I76" s="89"/>
      <c r="J76" s="7"/>
      <c r="K76" s="7"/>
      <c r="L76" s="90"/>
    </row>
    <row r="77" spans="2:12" ht="24.75" customHeight="1">
      <c r="B77" s="6" t="s">
        <v>144</v>
      </c>
      <c r="C77" s="6"/>
      <c r="D77" s="6"/>
      <c r="E77" s="125"/>
      <c r="F77" s="144" t="str">
        <f>'резерв отпускных (4)'!D21</f>
        <v>А.Р. Саттарова</v>
      </c>
      <c r="G77" s="143"/>
      <c r="H77" s="7"/>
      <c r="I77" s="7"/>
      <c r="J77" s="7"/>
      <c r="K77" s="7"/>
      <c r="L77" s="92" t="e">
        <f>L19-L21-L26-L27-L28-L41-L42-L47-L53-L57</f>
        <v>#DIV/0!</v>
      </c>
    </row>
    <row r="78" spans="2:12" ht="24.75" customHeight="1">
      <c r="B78" s="6"/>
      <c r="C78" s="6"/>
      <c r="D78" s="6"/>
      <c r="E78" s="6"/>
      <c r="F78" s="6"/>
      <c r="G78" s="7"/>
      <c r="H78" s="7"/>
      <c r="I78" s="7"/>
      <c r="J78" s="7"/>
      <c r="K78" s="93"/>
      <c r="L78" s="92"/>
    </row>
    <row r="79" spans="2:12" ht="24.75" customHeight="1" hidden="1">
      <c r="B79" s="6"/>
      <c r="C79" s="6"/>
      <c r="D79" s="6"/>
      <c r="E79" s="6"/>
      <c r="F79" s="6"/>
      <c r="G79" s="7"/>
      <c r="H79" s="7"/>
      <c r="I79" s="7"/>
      <c r="J79" s="7"/>
      <c r="K79" s="93"/>
      <c r="L79" s="92"/>
    </row>
    <row r="80" spans="2:11" ht="18.75" customHeight="1">
      <c r="B80" s="6"/>
      <c r="C80" s="6"/>
      <c r="D80" s="6"/>
      <c r="E80" s="18"/>
      <c r="F80" s="202"/>
      <c r="H80" s="202"/>
      <c r="I80" s="94"/>
      <c r="J80" s="7"/>
      <c r="K80" s="7"/>
    </row>
    <row r="81" spans="9:11" ht="12.75" customHeight="1">
      <c r="I81" s="94"/>
      <c r="J81" s="7"/>
      <c r="K81" s="7"/>
    </row>
    <row r="82" spans="9:11" ht="18.75" customHeight="1">
      <c r="I82" s="94"/>
      <c r="J82" s="7"/>
      <c r="K82" s="7"/>
    </row>
    <row r="83" spans="9:13" ht="12.75" customHeight="1">
      <c r="I83" s="94"/>
      <c r="L83" s="95" t="e">
        <f>L21+L26+L28+L42+L47+L53+L57+L27+L23</f>
        <v>#DIV/0!</v>
      </c>
      <c r="M83" s="96" t="e">
        <f>M21+M26+M28+M42+M47+M53+M57+M27+M23</f>
        <v>#DIV/0!</v>
      </c>
    </row>
    <row r="84" ht="12.75" customHeight="1">
      <c r="I84" s="94"/>
    </row>
    <row r="85" spans="3:12" ht="12.75" customHeight="1">
      <c r="C85" s="97"/>
      <c r="L85" s="98"/>
    </row>
    <row r="86" ht="12.75" customHeight="1">
      <c r="I86" s="94"/>
    </row>
    <row r="87" ht="12.75" customHeight="1">
      <c r="I87" s="94"/>
    </row>
    <row r="88" ht="12.75" customHeight="1">
      <c r="I88" s="94"/>
    </row>
    <row r="89" ht="12.75" customHeight="1">
      <c r="I89" s="94"/>
    </row>
    <row r="90" ht="12.75" customHeight="1">
      <c r="I90" s="94"/>
    </row>
    <row r="91" ht="12.75" customHeight="1">
      <c r="I91" s="94"/>
    </row>
    <row r="92" ht="12.75" customHeight="1">
      <c r="I92" s="94"/>
    </row>
    <row r="93" ht="12.75" customHeight="1">
      <c r="I93" s="94"/>
    </row>
  </sheetData>
  <sheetProtection/>
  <mergeCells count="7">
    <mergeCell ref="B48:D48"/>
    <mergeCell ref="B2:K2"/>
    <mergeCell ref="B3:K3"/>
    <mergeCell ref="P3:S3"/>
    <mergeCell ref="H17:I17"/>
    <mergeCell ref="J17:K17"/>
    <mergeCell ref="N17:N18"/>
  </mergeCells>
  <printOptions/>
  <pageMargins left="0.5905511811023623" right="0.1968503937007874" top="0.17" bottom="0.16" header="0" footer="0"/>
  <pageSetup fitToHeight="1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53"/>
  <sheetViews>
    <sheetView view="pageBreakPreview" zoomScale="90" zoomScaleSheetLayoutView="90" zoomScalePageLayoutView="0" workbookViewId="0" topLeftCell="A1">
      <selection activeCell="D7" sqref="D7"/>
    </sheetView>
  </sheetViews>
  <sheetFormatPr defaultColWidth="9.00390625" defaultRowHeight="12.75"/>
  <cols>
    <col min="1" max="1" width="2.375" style="88" customWidth="1"/>
    <col min="2" max="2" width="4.75390625" style="88" customWidth="1"/>
    <col min="3" max="3" width="44.25390625" style="88" customWidth="1"/>
    <col min="4" max="4" width="15.625" style="88" customWidth="1"/>
    <col min="5" max="5" width="13.375" style="88" hidden="1" customWidth="1"/>
    <col min="6" max="7" width="9.125" style="88" customWidth="1"/>
    <col min="8" max="8" width="11.625" style="88" customWidth="1"/>
    <col min="9" max="16384" width="9.125" style="88" customWidth="1"/>
  </cols>
  <sheetData>
    <row r="2" spans="2:7" ht="15.75">
      <c r="B2" s="6"/>
      <c r="C2" s="6"/>
      <c r="D2" s="6" t="s">
        <v>57</v>
      </c>
      <c r="E2" s="6"/>
      <c r="F2" s="6"/>
      <c r="G2" s="6"/>
    </row>
    <row r="3" spans="2:7" ht="48.75" customHeight="1">
      <c r="B3" s="6"/>
      <c r="C3" s="6"/>
      <c r="D3" s="319" t="str">
        <f>' (смета)'!C5</f>
        <v>"Центр дополнительного образования детей им.В.Волошиной"</v>
      </c>
      <c r="E3" s="319"/>
      <c r="F3" s="319"/>
      <c r="G3" s="319"/>
    </row>
    <row r="4" spans="2:7" ht="15.75">
      <c r="B4" s="6"/>
      <c r="C4" s="6"/>
      <c r="D4" s="125"/>
      <c r="E4" s="6"/>
      <c r="F4" s="6" t="str">
        <f>' (смета)'!F80</f>
        <v> И.П. Чередова</v>
      </c>
      <c r="G4" s="6"/>
    </row>
    <row r="5" spans="2:7" ht="15.75">
      <c r="B5" s="6"/>
      <c r="C5" s="6"/>
      <c r="D5" s="6"/>
      <c r="E5" s="6"/>
      <c r="F5" s="6"/>
      <c r="G5" s="6"/>
    </row>
    <row r="6" spans="2:10" ht="15.75">
      <c r="B6" s="6"/>
      <c r="C6" s="6"/>
      <c r="D6" s="126" t="s">
        <v>221</v>
      </c>
      <c r="E6" s="126"/>
      <c r="F6" s="126"/>
      <c r="G6" s="6"/>
      <c r="H6" s="203"/>
      <c r="I6" s="204"/>
      <c r="J6" s="204"/>
    </row>
    <row r="7" spans="2:7" ht="15.75">
      <c r="B7" s="6"/>
      <c r="C7" s="6"/>
      <c r="D7" s="6"/>
      <c r="E7" s="6"/>
      <c r="F7" s="6"/>
      <c r="G7" s="6"/>
    </row>
    <row r="8" spans="2:7" ht="15.75">
      <c r="B8" s="322" t="s">
        <v>58</v>
      </c>
      <c r="C8" s="322"/>
      <c r="D8" s="322"/>
      <c r="E8" s="6"/>
      <c r="F8" s="6"/>
      <c r="G8" s="6"/>
    </row>
    <row r="9" spans="2:7" ht="15.75">
      <c r="B9" s="323" t="s">
        <v>134</v>
      </c>
      <c r="C9" s="323"/>
      <c r="D9" s="323"/>
      <c r="E9" s="175"/>
      <c r="F9" s="6"/>
      <c r="G9" s="6"/>
    </row>
    <row r="10" spans="2:7" ht="15.75">
      <c r="B10" s="334" t="str">
        <f>' (смета) (5)'!D6</f>
        <v>"Развитие речи"  (индивидуальное занятие)</v>
      </c>
      <c r="C10" s="323"/>
      <c r="D10" s="323"/>
      <c r="E10" s="175"/>
      <c r="F10" s="6"/>
      <c r="G10" s="6"/>
    </row>
    <row r="11" spans="2:7" ht="15.75">
      <c r="B11" s="89"/>
      <c r="C11" s="175" t="str">
        <f>' (смета) (5)'!B7</f>
        <v>По программе:</v>
      </c>
      <c r="D11" s="175"/>
      <c r="E11" s="175"/>
      <c r="F11" s="6"/>
      <c r="G11" s="6"/>
    </row>
    <row r="12" spans="2:7" ht="15.75">
      <c r="B12" s="89"/>
      <c r="C12" s="175" t="str">
        <f>' (смета) (5)'!D7</f>
        <v>Развитие речи </v>
      </c>
      <c r="D12" s="175"/>
      <c r="E12" s="175"/>
      <c r="F12" s="6"/>
      <c r="G12" s="6"/>
    </row>
    <row r="13" spans="2:7" ht="15.75">
      <c r="B13" s="324" t="str">
        <f>' (смета)'!B3:K3</f>
        <v>                 на  2023-2024 учебный год  (сентябрь -май)</v>
      </c>
      <c r="C13" s="324"/>
      <c r="D13" s="324"/>
      <c r="E13" s="324"/>
      <c r="F13" s="6"/>
      <c r="G13" s="6"/>
    </row>
    <row r="14" spans="2:5" ht="24.75" customHeight="1">
      <c r="B14" s="127" t="s">
        <v>59</v>
      </c>
      <c r="C14" s="127" t="s">
        <v>60</v>
      </c>
      <c r="D14" s="127" t="s">
        <v>93</v>
      </c>
      <c r="E14" s="205" t="s">
        <v>62</v>
      </c>
    </row>
    <row r="15" spans="2:5" ht="16.5" customHeight="1">
      <c r="B15" s="206">
        <v>1</v>
      </c>
      <c r="C15" s="207" t="s">
        <v>61</v>
      </c>
      <c r="D15" s="128">
        <f>SUM(D16:D25)</f>
        <v>21600</v>
      </c>
      <c r="E15" s="208">
        <f>SUM(E16:E24)</f>
        <v>0</v>
      </c>
    </row>
    <row r="16" spans="2:5" ht="15.75">
      <c r="B16" s="209" t="s">
        <v>63</v>
      </c>
      <c r="C16" s="130" t="s">
        <v>72</v>
      </c>
      <c r="D16" s="27">
        <f>'резерв отпускных (5)'!D14</f>
        <v>14608</v>
      </c>
      <c r="E16" s="210"/>
    </row>
    <row r="17" spans="2:5" ht="15.75">
      <c r="B17" s="209" t="s">
        <v>64</v>
      </c>
      <c r="C17" s="130" t="s">
        <v>73</v>
      </c>
      <c r="D17" s="27">
        <f>'резерв отпускных (5)'!D15</f>
        <v>4410</v>
      </c>
      <c r="E17" s="210"/>
    </row>
    <row r="18" spans="2:5" ht="15.75">
      <c r="B18" s="209" t="s">
        <v>65</v>
      </c>
      <c r="C18" s="130" t="s">
        <v>74</v>
      </c>
      <c r="D18" s="27">
        <f>'резерв отпускных (5)'!D13+2</f>
        <v>2582</v>
      </c>
      <c r="E18" s="210"/>
    </row>
    <row r="19" spans="2:5" ht="15.75" hidden="1">
      <c r="B19" s="209" t="s">
        <v>66</v>
      </c>
      <c r="C19" s="130"/>
      <c r="D19" s="129"/>
      <c r="E19" s="210"/>
    </row>
    <row r="20" spans="2:5" ht="15.75" hidden="1">
      <c r="B20" s="209" t="s">
        <v>67</v>
      </c>
      <c r="C20" s="130"/>
      <c r="D20" s="129"/>
      <c r="E20" s="210"/>
    </row>
    <row r="21" spans="2:5" ht="15.75" hidden="1">
      <c r="B21" s="209" t="s">
        <v>68</v>
      </c>
      <c r="C21" s="130"/>
      <c r="D21" s="129"/>
      <c r="E21" s="210"/>
    </row>
    <row r="22" spans="2:5" ht="15.75" hidden="1">
      <c r="B22" s="209" t="s">
        <v>69</v>
      </c>
      <c r="C22" s="130"/>
      <c r="D22" s="129"/>
      <c r="E22" s="210"/>
    </row>
    <row r="23" spans="2:5" ht="25.5" customHeight="1" hidden="1">
      <c r="B23" s="209" t="s">
        <v>70</v>
      </c>
      <c r="C23" s="130"/>
      <c r="D23" s="130"/>
      <c r="E23" s="210"/>
    </row>
    <row r="24" spans="2:5" ht="15.75" hidden="1">
      <c r="B24" s="209" t="s">
        <v>71</v>
      </c>
      <c r="C24" s="130"/>
      <c r="D24" s="130"/>
      <c r="E24" s="210"/>
    </row>
    <row r="25" spans="2:5" ht="15.75" hidden="1">
      <c r="B25" s="211"/>
      <c r="C25" s="130"/>
      <c r="D25" s="129"/>
      <c r="E25" s="210"/>
    </row>
    <row r="26" spans="2:5" ht="15.75">
      <c r="B26" s="206">
        <v>2</v>
      </c>
      <c r="C26" s="207" t="s">
        <v>75</v>
      </c>
      <c r="D26" s="131">
        <f>D27+D38+D43+D44+D42+D41+D39+D40</f>
        <v>14400</v>
      </c>
      <c r="E26" s="208">
        <f>E27+E38+E41+E42+E43+E44</f>
        <v>0</v>
      </c>
    </row>
    <row r="27" spans="2:5" ht="31.5" hidden="1">
      <c r="B27" s="209" t="s">
        <v>76</v>
      </c>
      <c r="C27" s="212" t="s">
        <v>102</v>
      </c>
      <c r="D27" s="27">
        <f>D28+D37</f>
        <v>0</v>
      </c>
      <c r="E27" s="210">
        <f>E28+E37</f>
        <v>0</v>
      </c>
    </row>
    <row r="28" spans="2:5" ht="15.75" hidden="1">
      <c r="B28" s="209" t="s">
        <v>82</v>
      </c>
      <c r="C28" s="59" t="s">
        <v>72</v>
      </c>
      <c r="D28" s="27">
        <f>SUM(D29:D36)</f>
        <v>0</v>
      </c>
      <c r="E28" s="210">
        <f>SUM(E29:E36)</f>
        <v>0</v>
      </c>
    </row>
    <row r="29" spans="2:5" ht="15.75" hidden="1">
      <c r="B29" s="209"/>
      <c r="C29" s="59" t="s">
        <v>99</v>
      </c>
      <c r="D29" s="27"/>
      <c r="E29" s="210"/>
    </row>
    <row r="30" spans="2:5" ht="15.75" hidden="1">
      <c r="B30" s="209"/>
      <c r="C30" s="59" t="s">
        <v>86</v>
      </c>
      <c r="D30" s="129"/>
      <c r="E30" s="210"/>
    </row>
    <row r="31" spans="2:5" ht="15.75" hidden="1">
      <c r="B31" s="209"/>
      <c r="C31" s="59" t="s">
        <v>84</v>
      </c>
      <c r="D31" s="129"/>
      <c r="E31" s="210"/>
    </row>
    <row r="32" spans="2:5" ht="15.75" hidden="1">
      <c r="B32" s="209"/>
      <c r="C32" s="59" t="s">
        <v>85</v>
      </c>
      <c r="D32" s="129"/>
      <c r="E32" s="210"/>
    </row>
    <row r="33" spans="2:5" ht="15.75" hidden="1">
      <c r="B33" s="209"/>
      <c r="C33" s="59" t="s">
        <v>100</v>
      </c>
      <c r="D33" s="27">
        <f>+' (смета)'!G55/1.271</f>
        <v>0</v>
      </c>
      <c r="E33" s="210"/>
    </row>
    <row r="34" spans="2:5" ht="15.75" hidden="1">
      <c r="B34" s="209"/>
      <c r="C34" s="59" t="s">
        <v>87</v>
      </c>
      <c r="D34" s="129"/>
      <c r="E34" s="210"/>
    </row>
    <row r="35" spans="2:5" ht="15.75" hidden="1">
      <c r="B35" s="209"/>
      <c r="C35" s="59" t="s">
        <v>88</v>
      </c>
      <c r="D35" s="129"/>
      <c r="E35" s="210"/>
    </row>
    <row r="36" spans="2:5" ht="15.75" hidden="1">
      <c r="B36" s="209"/>
      <c r="C36" s="59" t="s">
        <v>89</v>
      </c>
      <c r="D36" s="129"/>
      <c r="E36" s="210"/>
    </row>
    <row r="37" spans="2:5" ht="15.75" hidden="1">
      <c r="B37" s="209" t="s">
        <v>83</v>
      </c>
      <c r="C37" s="59" t="s">
        <v>73</v>
      </c>
      <c r="D37" s="27">
        <f>D28*27.1%</f>
        <v>0</v>
      </c>
      <c r="E37" s="210">
        <f>E28*26.2%</f>
        <v>0</v>
      </c>
    </row>
    <row r="38" spans="2:5" ht="15.75">
      <c r="B38" s="209" t="s">
        <v>77</v>
      </c>
      <c r="C38" s="130" t="s">
        <v>90</v>
      </c>
      <c r="D38" s="27">
        <f>' (смета) (5)'!G28</f>
        <v>3600</v>
      </c>
      <c r="E38" s="210"/>
    </row>
    <row r="39" spans="2:5" ht="31.5" customHeight="1">
      <c r="B39" s="213" t="s">
        <v>78</v>
      </c>
      <c r="C39" s="214" t="s">
        <v>104</v>
      </c>
      <c r="D39" s="27">
        <f>' (смета) (5)'!G48</f>
        <v>1800</v>
      </c>
      <c r="E39" s="210"/>
    </row>
    <row r="40" spans="2:5" ht="16.5" customHeight="1">
      <c r="B40" s="213" t="s">
        <v>79</v>
      </c>
      <c r="C40" s="214" t="s">
        <v>135</v>
      </c>
      <c r="D40" s="27">
        <f>' (смета) (5)'!G49</f>
        <v>468</v>
      </c>
      <c r="E40" s="210"/>
    </row>
    <row r="41" spans="2:5" ht="15.75">
      <c r="B41" s="209" t="s">
        <v>80</v>
      </c>
      <c r="C41" s="130" t="s">
        <v>97</v>
      </c>
      <c r="D41" s="27">
        <f>' (смета) (5)'!G70</f>
        <v>0</v>
      </c>
      <c r="E41" s="210"/>
    </row>
    <row r="42" spans="2:5" ht="15.75">
      <c r="B42" s="209" t="s">
        <v>81</v>
      </c>
      <c r="C42" s="39" t="s">
        <v>136</v>
      </c>
      <c r="D42" s="132">
        <f>+' (смета) (5)'!G71</f>
        <v>0</v>
      </c>
      <c r="E42" s="37"/>
    </row>
    <row r="43" spans="2:5" ht="15.75">
      <c r="B43" s="209" t="s">
        <v>95</v>
      </c>
      <c r="C43" s="130" t="s">
        <v>137</v>
      </c>
      <c r="D43" s="129">
        <f>' (смета) (5)'!G59</f>
        <v>8532</v>
      </c>
      <c r="E43" s="210"/>
    </row>
    <row r="44" spans="2:5" ht="15.75">
      <c r="B44" s="209" t="s">
        <v>109</v>
      </c>
      <c r="C44" s="212" t="s">
        <v>138</v>
      </c>
      <c r="D44" s="129">
        <f>' (смета) (5)'!G72</f>
        <v>0</v>
      </c>
      <c r="E44" s="210"/>
    </row>
    <row r="45" spans="2:5" ht="18.75" customHeight="1">
      <c r="B45" s="206">
        <v>3</v>
      </c>
      <c r="C45" s="207" t="s">
        <v>91</v>
      </c>
      <c r="D45" s="131">
        <f>D15+D26</f>
        <v>36000</v>
      </c>
      <c r="E45" s="208">
        <f>E15+E26</f>
        <v>0</v>
      </c>
    </row>
    <row r="46" spans="2:5" ht="15.75">
      <c r="B46" s="211"/>
      <c r="C46" s="130"/>
      <c r="D46" s="129"/>
      <c r="E46" s="210"/>
    </row>
    <row r="47" spans="2:5" ht="15.75">
      <c r="B47" s="211">
        <v>4</v>
      </c>
      <c r="C47" s="130" t="s">
        <v>92</v>
      </c>
      <c r="D47" s="27">
        <f>' (смета) (5)'!E8</f>
        <v>1</v>
      </c>
      <c r="E47" s="210"/>
    </row>
    <row r="48" spans="2:5" ht="15.75">
      <c r="B48" s="211">
        <v>5</v>
      </c>
      <c r="C48" s="130" t="s">
        <v>139</v>
      </c>
      <c r="D48" s="27">
        <f>' (смета) (5)'!E12</f>
        <v>72</v>
      </c>
      <c r="E48" s="210"/>
    </row>
    <row r="49" spans="2:5" ht="15.75">
      <c r="B49" s="206">
        <v>6</v>
      </c>
      <c r="C49" s="207" t="s">
        <v>140</v>
      </c>
      <c r="D49" s="131">
        <f>D45/D47/D48</f>
        <v>500</v>
      </c>
      <c r="E49" s="208"/>
    </row>
    <row r="50" spans="2:4" ht="15.75">
      <c r="B50" s="6"/>
      <c r="C50" s="6"/>
      <c r="D50" s="6"/>
    </row>
    <row r="51" spans="2:8" ht="15.75">
      <c r="B51" s="6" t="s">
        <v>151</v>
      </c>
      <c r="C51" s="7" t="str">
        <f>' (смета) (5)'!F77</f>
        <v>А.Р. Саттарова</v>
      </c>
      <c r="D51" s="6"/>
      <c r="E51" s="125"/>
      <c r="F51" s="18"/>
      <c r="G51" s="320"/>
      <c r="H51" s="320"/>
    </row>
    <row r="52" spans="2:8" ht="15.75">
      <c r="B52" s="6"/>
      <c r="C52" s="6"/>
      <c r="D52" s="6"/>
      <c r="E52" s="6"/>
      <c r="F52" s="6"/>
      <c r="G52" s="7"/>
      <c r="H52" s="7"/>
    </row>
    <row r="53" spans="2:8" ht="15.75">
      <c r="B53" s="6"/>
      <c r="C53" s="6"/>
      <c r="D53" s="6"/>
      <c r="E53" s="125"/>
      <c r="F53" s="18"/>
      <c r="G53" s="321"/>
      <c r="H53" s="321"/>
    </row>
  </sheetData>
  <sheetProtection/>
  <mergeCells count="7">
    <mergeCell ref="G53:H53"/>
    <mergeCell ref="D3:G3"/>
    <mergeCell ref="B8:D8"/>
    <mergeCell ref="B9:D9"/>
    <mergeCell ref="B10:D10"/>
    <mergeCell ref="B13:E13"/>
    <mergeCell ref="G51:H51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0"/>
  <sheetViews>
    <sheetView view="pageBreakPreview" zoomScale="90" zoomScaleSheetLayoutView="90" zoomScalePageLayoutView="0" workbookViewId="0" topLeftCell="A1">
      <selection activeCell="D21" sqref="D21"/>
    </sheetView>
  </sheetViews>
  <sheetFormatPr defaultColWidth="9.00390625" defaultRowHeight="12.75"/>
  <cols>
    <col min="1" max="1" width="2.375" style="6" customWidth="1"/>
    <col min="2" max="2" width="7.875" style="6" customWidth="1"/>
    <col min="3" max="3" width="53.75390625" style="6" customWidth="1"/>
    <col min="4" max="4" width="17.875" style="6" customWidth="1"/>
    <col min="5" max="5" width="4.625" style="6" customWidth="1"/>
    <col min="6" max="7" width="9.125" style="6" customWidth="1"/>
    <col min="8" max="8" width="9.375" style="6" customWidth="1"/>
    <col min="9" max="16384" width="9.125" style="6" customWidth="1"/>
  </cols>
  <sheetData>
    <row r="1" ht="15.75"/>
    <row r="2" spans="2:5" ht="15.75">
      <c r="B2" s="316" t="str">
        <f>' (смета) (5)'!C4</f>
        <v>Муниципальное бюджетное образовательное учреждение  дополнительного образования        </v>
      </c>
      <c r="C2" s="316"/>
      <c r="D2" s="316"/>
      <c r="E2" s="134"/>
    </row>
    <row r="3" spans="2:5" ht="15.75">
      <c r="B3" s="317" t="str">
        <f>' (смета) (5)'!C5</f>
        <v>"Центр дополнительного образования детей им.В.Волошиной"</v>
      </c>
      <c r="C3" s="317"/>
      <c r="D3" s="317"/>
      <c r="E3" s="134"/>
    </row>
    <row r="4" ht="15.75">
      <c r="C4" s="173"/>
    </row>
    <row r="5" spans="2:5" ht="15.75">
      <c r="B5" s="318" t="s">
        <v>152</v>
      </c>
      <c r="C5" s="318"/>
      <c r="D5" s="318"/>
      <c r="E5" s="200"/>
    </row>
    <row r="6" spans="2:5" ht="15.75">
      <c r="B6" s="200"/>
      <c r="C6" s="200" t="str">
        <f>' (смета)'!B3</f>
        <v>                 на  2023-2024 учебный год  (сентябрь -май)</v>
      </c>
      <c r="D6" s="200"/>
      <c r="E6" s="200"/>
    </row>
    <row r="7" spans="2:5" ht="15.75" customHeight="1">
      <c r="B7" s="274"/>
      <c r="C7" s="200" t="str">
        <f>' (смета) (5)'!B7</f>
        <v>По программе:</v>
      </c>
      <c r="D7" s="275"/>
      <c r="E7" s="134"/>
    </row>
    <row r="8" spans="2:5" s="5" customFormat="1" ht="15.75">
      <c r="B8" s="200"/>
      <c r="C8" s="284" t="str">
        <f>' (смета) (5)'!D7</f>
        <v>Развитие речи </v>
      </c>
      <c r="D8" s="284"/>
      <c r="E8" s="222"/>
    </row>
    <row r="9" spans="2:7" ht="33" customHeight="1">
      <c r="B9" s="215" t="s">
        <v>110</v>
      </c>
      <c r="C9" s="127" t="s">
        <v>111</v>
      </c>
      <c r="D9" s="127" t="s">
        <v>112</v>
      </c>
      <c r="E9" s="135"/>
      <c r="F9" s="175" t="s">
        <v>146</v>
      </c>
      <c r="G9" s="175" t="s">
        <v>147</v>
      </c>
    </row>
    <row r="10" spans="2:7" ht="23.25" customHeight="1">
      <c r="B10" s="127">
        <v>1</v>
      </c>
      <c r="C10" s="216" t="s">
        <v>113</v>
      </c>
      <c r="D10" s="217">
        <f>(' (смета) (5)'!G22/9)/29.3*F10</f>
        <v>1981.74</v>
      </c>
      <c r="E10" s="133"/>
      <c r="F10" s="218">
        <f>42/12*9</f>
        <v>31.5</v>
      </c>
      <c r="G10" s="218">
        <f>F10/9</f>
        <v>3.5</v>
      </c>
    </row>
    <row r="11" spans="2:5" ht="33" customHeight="1">
      <c r="B11" s="127">
        <v>2</v>
      </c>
      <c r="C11" s="219" t="s">
        <v>116</v>
      </c>
      <c r="D11" s="136">
        <f>D10*30.2%</f>
        <v>598.49</v>
      </c>
      <c r="E11" s="137"/>
    </row>
    <row r="12" spans="2:5" ht="33" customHeight="1" hidden="1">
      <c r="B12" s="127">
        <v>3</v>
      </c>
      <c r="C12" s="219" t="s">
        <v>117</v>
      </c>
      <c r="D12" s="136"/>
      <c r="E12" s="137"/>
    </row>
    <row r="13" spans="2:5" ht="54" customHeight="1">
      <c r="B13" s="127">
        <v>3</v>
      </c>
      <c r="C13" s="219" t="s">
        <v>118</v>
      </c>
      <c r="D13" s="136">
        <f>D10+D11-D12</f>
        <v>2580.23</v>
      </c>
      <c r="E13" s="137"/>
    </row>
    <row r="14" spans="2:5" ht="33" customHeight="1">
      <c r="B14" s="127">
        <v>4</v>
      </c>
      <c r="C14" s="219" t="s">
        <v>114</v>
      </c>
      <c r="D14" s="141">
        <f>' (смета) (5)'!G22-D10</f>
        <v>14608.26</v>
      </c>
      <c r="E14" s="133"/>
    </row>
    <row r="15" spans="2:5" ht="33" customHeight="1">
      <c r="B15" s="127">
        <v>5</v>
      </c>
      <c r="C15" s="219" t="s">
        <v>119</v>
      </c>
      <c r="D15" s="136">
        <f>D14*30.2%-2</f>
        <v>4409.69</v>
      </c>
      <c r="E15" s="137"/>
    </row>
    <row r="16" spans="2:5" ht="33" customHeight="1">
      <c r="B16" s="127">
        <v>6</v>
      </c>
      <c r="C16" s="219" t="s">
        <v>120</v>
      </c>
      <c r="D16" s="136">
        <f>D14+D15</f>
        <v>19017.95</v>
      </c>
      <c r="E16" s="137"/>
    </row>
    <row r="17" spans="2:5" ht="33" customHeight="1">
      <c r="B17" s="127">
        <v>7</v>
      </c>
      <c r="C17" s="219" t="s">
        <v>121</v>
      </c>
      <c r="D17" s="220">
        <f>D13/D16</f>
        <v>0.1357</v>
      </c>
      <c r="E17" s="138"/>
    </row>
    <row r="18" spans="2:5" ht="49.5" customHeight="1">
      <c r="B18" s="127">
        <v>8</v>
      </c>
      <c r="C18" s="219" t="s">
        <v>122</v>
      </c>
      <c r="D18" s="139" t="s">
        <v>115</v>
      </c>
      <c r="E18" s="140"/>
    </row>
    <row r="20" spans="2:4" ht="15.75">
      <c r="B20" s="6" t="s">
        <v>216</v>
      </c>
      <c r="D20" s="6" t="str">
        <f>'калькуляция (5)'!C51</f>
        <v>А.Р. Саттарова</v>
      </c>
    </row>
  </sheetData>
  <sheetProtection/>
  <mergeCells count="3"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Zeros="0" view="pageBreakPreview" zoomScale="90" zoomScaleNormal="80" zoomScaleSheetLayoutView="90" zoomScalePageLayoutView="0" workbookViewId="0" topLeftCell="A1">
      <selection activeCell="J18" sqref="J18"/>
    </sheetView>
  </sheetViews>
  <sheetFormatPr defaultColWidth="9.00390625" defaultRowHeight="12.75" customHeight="1"/>
  <cols>
    <col min="1" max="1" width="0.74609375" style="88" customWidth="1"/>
    <col min="2" max="2" width="13.75390625" style="88" customWidth="1"/>
    <col min="3" max="3" width="11.00390625" style="88" customWidth="1"/>
    <col min="4" max="4" width="25.875" style="88" customWidth="1"/>
    <col min="5" max="5" width="11.375" style="88" customWidth="1"/>
    <col min="6" max="6" width="13.875" style="88" customWidth="1"/>
    <col min="7" max="7" width="13.625" style="91" customWidth="1"/>
    <col min="8" max="8" width="12.25390625" style="91" customWidth="1"/>
    <col min="9" max="9" width="12.625" style="91" customWidth="1"/>
    <col min="10" max="10" width="11.625" style="91" customWidth="1"/>
    <col min="11" max="11" width="12.375" style="91" customWidth="1"/>
    <col min="12" max="12" width="11.00390625" style="88" hidden="1" customWidth="1"/>
    <col min="13" max="13" width="11.00390625" style="8" hidden="1" customWidth="1"/>
    <col min="14" max="14" width="12.875" style="175" customWidth="1"/>
    <col min="15" max="15" width="9.125" style="6" customWidth="1"/>
    <col min="16" max="16" width="11.875" style="88" customWidth="1"/>
    <col min="17" max="17" width="10.875" style="88" customWidth="1"/>
    <col min="18" max="18" width="10.75390625" style="88" customWidth="1"/>
    <col min="19" max="19" width="12.25390625" style="88" customWidth="1"/>
    <col min="20" max="20" width="17.375" style="88" customWidth="1"/>
    <col min="21" max="16384" width="9.125" style="88" customWidth="1"/>
  </cols>
  <sheetData>
    <row r="1" spans="7:14" s="6" customFormat="1" ht="12.75" customHeight="1">
      <c r="G1" s="7"/>
      <c r="H1" s="7"/>
      <c r="I1" s="7"/>
      <c r="J1" s="7"/>
      <c r="K1" s="7"/>
      <c r="M1" s="8"/>
      <c r="N1" s="175"/>
    </row>
    <row r="2" spans="2:15" s="9" customFormat="1" ht="19.5" customHeight="1">
      <c r="B2" s="310" t="s">
        <v>103</v>
      </c>
      <c r="C2" s="310"/>
      <c r="D2" s="310"/>
      <c r="E2" s="310"/>
      <c r="F2" s="310"/>
      <c r="G2" s="310"/>
      <c r="H2" s="310"/>
      <c r="I2" s="310"/>
      <c r="J2" s="310"/>
      <c r="K2" s="310"/>
      <c r="M2" s="8"/>
      <c r="N2" s="175"/>
      <c r="O2" s="6"/>
    </row>
    <row r="3" spans="2:20" s="9" customFormat="1" ht="19.5" customHeight="1">
      <c r="B3" s="302" t="s">
        <v>232</v>
      </c>
      <c r="C3" s="302"/>
      <c r="D3" s="302"/>
      <c r="E3" s="302"/>
      <c r="F3" s="302"/>
      <c r="G3" s="302"/>
      <c r="H3" s="302"/>
      <c r="I3" s="302"/>
      <c r="J3" s="302"/>
      <c r="K3" s="302"/>
      <c r="M3" s="8"/>
      <c r="N3" s="175"/>
      <c r="O3" s="6"/>
      <c r="P3" s="305" t="s">
        <v>148</v>
      </c>
      <c r="Q3" s="306"/>
      <c r="R3" s="306"/>
      <c r="S3" s="307"/>
      <c r="T3" s="195" t="s">
        <v>72</v>
      </c>
    </row>
    <row r="4" spans="2:20" s="6" customFormat="1" ht="16.5" customHeight="1">
      <c r="B4" s="224" t="s">
        <v>155</v>
      </c>
      <c r="C4" s="223" t="s">
        <v>153</v>
      </c>
      <c r="D4" s="10"/>
      <c r="G4" s="11"/>
      <c r="H4" s="7"/>
      <c r="I4" s="12"/>
      <c r="J4" s="12"/>
      <c r="K4" s="7"/>
      <c r="M4" s="8"/>
      <c r="N4" s="175"/>
      <c r="P4" s="192">
        <f>G19</f>
        <v>176000</v>
      </c>
      <c r="Q4" s="193">
        <f>H19+I19+J19+K19</f>
        <v>176000</v>
      </c>
      <c r="R4" s="193">
        <f>G20+G25+G57</f>
        <v>176000</v>
      </c>
      <c r="S4" s="194">
        <f>'калькуляция (6)'!D45</f>
        <v>176000</v>
      </c>
      <c r="T4" s="196">
        <f>'резерв отпускных (6)'!D11+'резерв отпускных (6)'!D12+'резерв отпускных (6)'!D15+'резерв отпускных (6)'!D16</f>
        <v>105600</v>
      </c>
    </row>
    <row r="5" spans="3:14" s="6" customFormat="1" ht="12.75" customHeight="1">
      <c r="C5" s="223" t="s">
        <v>154</v>
      </c>
      <c r="G5" s="7"/>
      <c r="H5" s="7"/>
      <c r="I5" s="7"/>
      <c r="J5" s="7"/>
      <c r="K5" s="7"/>
      <c r="M5" s="8"/>
      <c r="N5" s="175"/>
    </row>
    <row r="6" spans="2:20" s="5" customFormat="1" ht="18" customHeight="1">
      <c r="B6" s="273" t="s">
        <v>192</v>
      </c>
      <c r="C6" s="272"/>
      <c r="D6" s="272" t="s">
        <v>206</v>
      </c>
      <c r="E6" s="272"/>
      <c r="F6" s="272"/>
      <c r="G6" s="272"/>
      <c r="H6" s="272"/>
      <c r="I6" s="272"/>
      <c r="J6" s="272"/>
      <c r="K6" s="272"/>
      <c r="M6" s="14"/>
      <c r="N6" s="176"/>
      <c r="P6" s="199">
        <f>E15-P4</f>
        <v>0</v>
      </c>
      <c r="Q6" s="199">
        <f>E15-Q4</f>
        <v>0</v>
      </c>
      <c r="R6" s="199">
        <f>E15-R4</f>
        <v>0</v>
      </c>
      <c r="S6" s="199">
        <f>E15-S4</f>
        <v>0</v>
      </c>
      <c r="T6" s="199">
        <f>G20-T4</f>
        <v>0</v>
      </c>
    </row>
    <row r="7" spans="2:14" s="6" customFormat="1" ht="18" customHeight="1">
      <c r="B7" s="277" t="s">
        <v>193</v>
      </c>
      <c r="C7" s="278"/>
      <c r="D7" s="278" t="s">
        <v>207</v>
      </c>
      <c r="G7" s="13"/>
      <c r="H7" s="7"/>
      <c r="I7" s="7"/>
      <c r="J7" s="7"/>
      <c r="K7" s="7"/>
      <c r="M7" s="8"/>
      <c r="N7" s="175"/>
    </row>
    <row r="8" spans="2:15" s="6" customFormat="1" ht="27" customHeight="1">
      <c r="B8" s="6" t="s">
        <v>41</v>
      </c>
      <c r="E8" s="173">
        <v>4</v>
      </c>
      <c r="F8" s="88"/>
      <c r="G8" s="7"/>
      <c r="H8" s="7"/>
      <c r="I8" s="7"/>
      <c r="J8" s="7"/>
      <c r="K8" s="7"/>
      <c r="M8" s="8"/>
      <c r="N8" s="175"/>
      <c r="O8" s="202" t="s">
        <v>190</v>
      </c>
    </row>
    <row r="9" spans="2:15" s="6" customFormat="1" ht="18" customHeight="1">
      <c r="B9" s="6" t="s">
        <v>202</v>
      </c>
      <c r="E9" s="173">
        <v>2</v>
      </c>
      <c r="F9" s="15"/>
      <c r="G9" s="7"/>
      <c r="H9" s="7"/>
      <c r="I9" s="7"/>
      <c r="J9" s="7"/>
      <c r="K9" s="7"/>
      <c r="M9" s="8"/>
      <c r="N9" s="177"/>
      <c r="O9" s="16"/>
    </row>
    <row r="10" spans="2:14" s="6" customFormat="1" ht="18" customHeight="1">
      <c r="B10" s="6" t="s">
        <v>42</v>
      </c>
      <c r="E10" s="173"/>
      <c r="F10" s="15"/>
      <c r="G10" s="17"/>
      <c r="H10" s="7"/>
      <c r="I10" s="7"/>
      <c r="J10" s="7"/>
      <c r="K10" s="7"/>
      <c r="M10" s="8"/>
      <c r="N10" s="175"/>
    </row>
    <row r="11" spans="2:14" s="6" customFormat="1" ht="18" customHeight="1">
      <c r="B11" s="6" t="s">
        <v>45</v>
      </c>
      <c r="E11" s="172">
        <f>G12</f>
        <v>40</v>
      </c>
      <c r="F11" s="15"/>
      <c r="G11" s="7"/>
      <c r="H11" s="7"/>
      <c r="I11" s="7"/>
      <c r="J11" s="7"/>
      <c r="K11" s="7"/>
      <c r="M11" s="8"/>
      <c r="N11" s="175"/>
    </row>
    <row r="12" spans="2:14" s="6" customFormat="1" ht="18" customHeight="1">
      <c r="B12" s="6" t="s">
        <v>94</v>
      </c>
      <c r="E12" s="173">
        <f>E11*E9</f>
        <v>80</v>
      </c>
      <c r="G12" s="27">
        <f>H12+I12+J12+K12</f>
        <v>40</v>
      </c>
      <c r="H12" s="27">
        <v>4</v>
      </c>
      <c r="I12" s="27">
        <v>12</v>
      </c>
      <c r="J12" s="27">
        <v>12</v>
      </c>
      <c r="K12" s="27">
        <v>12</v>
      </c>
      <c r="M12" s="8"/>
      <c r="N12" s="175"/>
    </row>
    <row r="13" spans="2:14" s="6" customFormat="1" ht="18" customHeight="1">
      <c r="B13" s="6" t="s">
        <v>130</v>
      </c>
      <c r="E13" s="173">
        <v>550</v>
      </c>
      <c r="F13" s="15"/>
      <c r="G13" s="89"/>
      <c r="H13" s="89"/>
      <c r="I13" s="89"/>
      <c r="J13" s="89"/>
      <c r="K13" s="89"/>
      <c r="M13" s="8"/>
      <c r="N13" s="175"/>
    </row>
    <row r="14" spans="2:14" s="6" customFormat="1" ht="21" customHeight="1">
      <c r="B14" s="6" t="s">
        <v>46</v>
      </c>
      <c r="E14" s="173">
        <f>E9*E11*E13</f>
        <v>44000</v>
      </c>
      <c r="F14" s="6" t="s">
        <v>149</v>
      </c>
      <c r="G14" s="89"/>
      <c r="H14" s="89"/>
      <c r="I14" s="89"/>
      <c r="J14" s="89"/>
      <c r="K14" s="89"/>
      <c r="M14" s="8"/>
      <c r="N14" s="175"/>
    </row>
    <row r="15" spans="1:14" s="6" customFormat="1" ht="18" customHeight="1">
      <c r="A15" s="18"/>
      <c r="B15" s="18" t="s">
        <v>47</v>
      </c>
      <c r="C15" s="19"/>
      <c r="D15" s="19"/>
      <c r="E15" s="174">
        <f>E14*E8</f>
        <v>176000</v>
      </c>
      <c r="F15" s="19"/>
      <c r="G15" s="89"/>
      <c r="H15" s="89"/>
      <c r="I15" s="89"/>
      <c r="J15" s="89"/>
      <c r="K15" s="89"/>
      <c r="L15" s="6" t="s">
        <v>1</v>
      </c>
      <c r="M15" s="8"/>
      <c r="N15" s="175"/>
    </row>
    <row r="16" spans="1:14" s="6" customFormat="1" ht="18" customHeight="1">
      <c r="A16" s="18"/>
      <c r="B16" s="18"/>
      <c r="C16" s="19"/>
      <c r="D16" s="19"/>
      <c r="E16" s="20"/>
      <c r="F16" s="19"/>
      <c r="G16" s="89"/>
      <c r="H16" s="89"/>
      <c r="I16" s="89"/>
      <c r="J16" s="89"/>
      <c r="K16" s="89"/>
      <c r="M16" s="8"/>
      <c r="N16" s="175"/>
    </row>
    <row r="17" spans="1:23" s="6" customFormat="1" ht="18" customHeight="1">
      <c r="A17" s="18"/>
      <c r="B17" s="21" t="s">
        <v>29</v>
      </c>
      <c r="C17" s="22"/>
      <c r="D17" s="22"/>
      <c r="E17" s="22"/>
      <c r="F17" s="22"/>
      <c r="G17" s="148"/>
      <c r="H17" s="312">
        <v>2023</v>
      </c>
      <c r="I17" s="313"/>
      <c r="J17" s="314">
        <v>2024</v>
      </c>
      <c r="K17" s="315"/>
      <c r="L17" s="23" t="s">
        <v>39</v>
      </c>
      <c r="M17" s="8"/>
      <c r="N17" s="311" t="s">
        <v>145</v>
      </c>
      <c r="P17" s="24"/>
      <c r="Q17" s="25"/>
      <c r="R17" s="4"/>
      <c r="S17" s="4"/>
      <c r="T17" s="25"/>
      <c r="U17" s="25"/>
      <c r="V17" s="25"/>
      <c r="W17" s="25"/>
    </row>
    <row r="18" spans="1:14" s="6" customFormat="1" ht="18" customHeight="1">
      <c r="A18" s="18"/>
      <c r="B18" s="26"/>
      <c r="C18" s="116" t="s">
        <v>43</v>
      </c>
      <c r="D18" s="18"/>
      <c r="E18" s="18"/>
      <c r="F18" s="18"/>
      <c r="G18" s="149"/>
      <c r="H18" s="27" t="s">
        <v>32</v>
      </c>
      <c r="I18" s="27" t="s">
        <v>33</v>
      </c>
      <c r="J18" s="27" t="s">
        <v>30</v>
      </c>
      <c r="K18" s="27" t="s">
        <v>31</v>
      </c>
      <c r="L18" s="28" t="s">
        <v>40</v>
      </c>
      <c r="M18" s="8"/>
      <c r="N18" s="311"/>
    </row>
    <row r="19" spans="2:23" s="25" customFormat="1" ht="30" customHeight="1">
      <c r="B19" s="29"/>
      <c r="C19" s="30"/>
      <c r="D19" s="30"/>
      <c r="E19" s="30"/>
      <c r="F19" s="30"/>
      <c r="G19" s="150">
        <f>E15</f>
        <v>176000</v>
      </c>
      <c r="H19" s="151">
        <f>E15/G12*H12</f>
        <v>17600</v>
      </c>
      <c r="I19" s="151">
        <f>E15/G12*I12</f>
        <v>52800</v>
      </c>
      <c r="J19" s="151">
        <f>E15/G12*J12</f>
        <v>52800</v>
      </c>
      <c r="K19" s="151">
        <f>E15/G12*K12</f>
        <v>52800</v>
      </c>
      <c r="L19" s="31">
        <f>E13</f>
        <v>550</v>
      </c>
      <c r="M19" s="32" t="e">
        <f>G19/N9</f>
        <v>#DIV/0!</v>
      </c>
      <c r="N19" s="178">
        <f>G19/G19</f>
        <v>1</v>
      </c>
      <c r="O19" s="5"/>
      <c r="P19" s="6"/>
      <c r="Q19" s="6"/>
      <c r="R19" s="6"/>
      <c r="S19" s="6"/>
      <c r="T19" s="6"/>
      <c r="U19" s="6"/>
      <c r="V19" s="6"/>
      <c r="W19" s="6"/>
    </row>
    <row r="20" spans="2:24" s="6" customFormat="1" ht="24.75" customHeight="1" thickBot="1">
      <c r="B20" s="101" t="s">
        <v>28</v>
      </c>
      <c r="C20" s="102"/>
      <c r="D20" s="102"/>
      <c r="E20" s="102"/>
      <c r="F20" s="102"/>
      <c r="G20" s="152">
        <f>+H20+I20+J20+K20</f>
        <v>105600</v>
      </c>
      <c r="H20" s="152">
        <f>H19*0.6</f>
        <v>10560</v>
      </c>
      <c r="I20" s="152">
        <f>I19*0.6</f>
        <v>31680</v>
      </c>
      <c r="J20" s="152">
        <f>J19*0.6</f>
        <v>31680</v>
      </c>
      <c r="K20" s="152">
        <f>K19*0.6</f>
        <v>31680</v>
      </c>
      <c r="L20" s="33"/>
      <c r="M20" s="32">
        <f>G20/8208</f>
        <v>12.87</v>
      </c>
      <c r="N20" s="179">
        <f>G20/G19</f>
        <v>0.6</v>
      </c>
      <c r="O20" s="147"/>
      <c r="X20" s="142"/>
    </row>
    <row r="21" spans="2:22" s="6" customFormat="1" ht="17.25" customHeight="1">
      <c r="B21" s="103"/>
      <c r="C21" s="34"/>
      <c r="D21" s="34"/>
      <c r="E21" s="34"/>
      <c r="F21" s="35"/>
      <c r="G21" s="27"/>
      <c r="H21" s="148">
        <v>0</v>
      </c>
      <c r="I21" s="148"/>
      <c r="J21" s="148"/>
      <c r="K21" s="148"/>
      <c r="L21" s="36" t="e">
        <f>M21</f>
        <v>#DIV/0!</v>
      </c>
      <c r="M21" s="32" t="e">
        <f>G21/N9</f>
        <v>#DIV/0!</v>
      </c>
      <c r="N21" s="179"/>
      <c r="P21" s="181" t="s">
        <v>142</v>
      </c>
      <c r="Q21" s="182"/>
      <c r="R21" s="182"/>
      <c r="S21" s="182"/>
      <c r="T21" s="183"/>
      <c r="U21" s="18"/>
      <c r="V21" s="18"/>
    </row>
    <row r="22" spans="1:24" s="6" customFormat="1" ht="17.25" customHeight="1">
      <c r="A22" s="6" t="s">
        <v>124</v>
      </c>
      <c r="B22" s="99" t="s">
        <v>132</v>
      </c>
      <c r="C22" s="37"/>
      <c r="D22" s="37"/>
      <c r="E22" s="37"/>
      <c r="F22" s="37"/>
      <c r="G22" s="27">
        <f aca="true" t="shared" si="0" ref="G22:G32">SUM(H22:K22)</f>
        <v>81107</v>
      </c>
      <c r="H22" s="27">
        <f>H20/1.302</f>
        <v>8111</v>
      </c>
      <c r="I22" s="27">
        <f>I20/1.302</f>
        <v>24332</v>
      </c>
      <c r="J22" s="27">
        <f>J20/1.302</f>
        <v>24332</v>
      </c>
      <c r="K22" s="27">
        <f>K20/1.302</f>
        <v>24332</v>
      </c>
      <c r="L22" s="38" t="e">
        <f>M22</f>
        <v>#DIV/0!</v>
      </c>
      <c r="M22" s="32" t="e">
        <f>G22/N9</f>
        <v>#DIV/0!</v>
      </c>
      <c r="N22" s="179"/>
      <c r="P22" s="184" t="s">
        <v>123</v>
      </c>
      <c r="Q22" s="185">
        <f>E13*0.546/1.302/1.1357/1.3</f>
        <v>156.22</v>
      </c>
      <c r="R22" s="186" t="s">
        <v>143</v>
      </c>
      <c r="S22" s="186"/>
      <c r="T22" s="197" t="s">
        <v>189</v>
      </c>
      <c r="U22" s="186"/>
      <c r="V22" s="186"/>
      <c r="X22" s="142"/>
    </row>
    <row r="23" spans="1:22" s="6" customFormat="1" ht="17.25" customHeight="1" hidden="1">
      <c r="A23" s="5" t="s">
        <v>125</v>
      </c>
      <c r="B23" s="39" t="s">
        <v>129</v>
      </c>
      <c r="C23" s="39"/>
      <c r="D23" s="37"/>
      <c r="E23" s="37"/>
      <c r="F23" s="37"/>
      <c r="G23" s="27">
        <f t="shared" si="0"/>
        <v>0</v>
      </c>
      <c r="H23" s="27"/>
      <c r="I23" s="27"/>
      <c r="J23" s="27"/>
      <c r="K23" s="27"/>
      <c r="L23" s="40"/>
      <c r="M23" s="32">
        <f>G23/5760</f>
        <v>0</v>
      </c>
      <c r="N23" s="179"/>
      <c r="P23" s="187"/>
      <c r="Q23" s="18"/>
      <c r="R23" s="18"/>
      <c r="S23" s="18"/>
      <c r="T23" s="188"/>
      <c r="U23" s="18"/>
      <c r="V23" s="18"/>
    </row>
    <row r="24" spans="1:22" s="6" customFormat="1" ht="17.25" customHeight="1" thickBot="1">
      <c r="A24" s="5" t="s">
        <v>125</v>
      </c>
      <c r="B24" s="100" t="s">
        <v>133</v>
      </c>
      <c r="C24" s="41"/>
      <c r="D24" s="42"/>
      <c r="E24" s="42"/>
      <c r="F24" s="42"/>
      <c r="G24" s="27">
        <f t="shared" si="0"/>
        <v>24493</v>
      </c>
      <c r="H24" s="27">
        <f>H20-H22</f>
        <v>2449</v>
      </c>
      <c r="I24" s="27">
        <f>I20-I22</f>
        <v>7348</v>
      </c>
      <c r="J24" s="27">
        <f>J20-J22</f>
        <v>7348</v>
      </c>
      <c r="K24" s="27">
        <f>K20-K22</f>
        <v>7348</v>
      </c>
      <c r="L24" s="43" t="e">
        <f>M24</f>
        <v>#DIV/0!</v>
      </c>
      <c r="M24" s="32" t="e">
        <f aca="true" t="shared" si="1" ref="M24:M32">G24/$N$9</f>
        <v>#DIV/0!</v>
      </c>
      <c r="N24" s="179"/>
      <c r="P24" s="189" t="s">
        <v>141</v>
      </c>
      <c r="Q24" s="190">
        <f>E13*0.054/1.302/1.1357/1.3</f>
        <v>15.45</v>
      </c>
      <c r="R24" s="191" t="s">
        <v>143</v>
      </c>
      <c r="S24" s="191"/>
      <c r="T24" s="198" t="s">
        <v>159</v>
      </c>
      <c r="U24" s="18"/>
      <c r="V24" s="18"/>
    </row>
    <row r="25" spans="2:16" s="6" customFormat="1" ht="24.75" customHeight="1">
      <c r="B25" s="117" t="s">
        <v>0</v>
      </c>
      <c r="C25" s="118"/>
      <c r="D25" s="118"/>
      <c r="E25" s="118"/>
      <c r="F25" s="118"/>
      <c r="G25" s="153">
        <f t="shared" si="0"/>
        <v>28687</v>
      </c>
      <c r="H25" s="152">
        <f>H26+H27+H28+H41+H42+H47</f>
        <v>2869</v>
      </c>
      <c r="I25" s="152">
        <f>I26+I27+I28+I41+I42+I47</f>
        <v>8606</v>
      </c>
      <c r="J25" s="152">
        <f>J26+J27+J28+J41+J42+J47</f>
        <v>8606</v>
      </c>
      <c r="K25" s="152">
        <f>K26+K27+K28+K41+K42+K47</f>
        <v>8606</v>
      </c>
      <c r="L25" s="201" t="e">
        <f>L26+L27+L28+L41+L42+L47</f>
        <v>#DIV/0!</v>
      </c>
      <c r="M25" s="32" t="e">
        <f t="shared" si="1"/>
        <v>#DIV/0!</v>
      </c>
      <c r="N25" s="179"/>
      <c r="P25" s="8"/>
    </row>
    <row r="26" spans="2:15" s="44" customFormat="1" ht="17.25" customHeight="1" hidden="1">
      <c r="B26" s="45" t="s">
        <v>126</v>
      </c>
      <c r="C26" s="80"/>
      <c r="D26" s="80"/>
      <c r="E26" s="80"/>
      <c r="F26" s="80"/>
      <c r="G26" s="27">
        <f t="shared" si="0"/>
        <v>0</v>
      </c>
      <c r="H26" s="27"/>
      <c r="I26" s="27"/>
      <c r="J26" s="27"/>
      <c r="K26" s="154"/>
      <c r="L26" s="46">
        <f>(H26/3*$L$19)/($H$19/3)</f>
        <v>0</v>
      </c>
      <c r="M26" s="32" t="e">
        <f t="shared" si="1"/>
        <v>#DIV/0!</v>
      </c>
      <c r="N26" s="179"/>
      <c r="O26" s="5"/>
    </row>
    <row r="27" spans="2:15" s="44" customFormat="1" ht="17.25" customHeight="1" hidden="1">
      <c r="B27" s="45" t="s">
        <v>127</v>
      </c>
      <c r="C27" s="80"/>
      <c r="D27" s="80"/>
      <c r="E27" s="80"/>
      <c r="F27" s="80"/>
      <c r="G27" s="27">
        <f t="shared" si="0"/>
        <v>0</v>
      </c>
      <c r="H27" s="27"/>
      <c r="I27" s="27"/>
      <c r="J27" s="27"/>
      <c r="K27" s="27"/>
      <c r="L27" s="46"/>
      <c r="M27" s="32" t="e">
        <f t="shared" si="1"/>
        <v>#DIV/0!</v>
      </c>
      <c r="N27" s="179"/>
      <c r="O27" s="5"/>
    </row>
    <row r="28" spans="2:15" s="44" customFormat="1" ht="17.25" customHeight="1">
      <c r="B28" s="2" t="s">
        <v>106</v>
      </c>
      <c r="C28" s="105"/>
      <c r="D28" s="105"/>
      <c r="E28" s="105"/>
      <c r="F28" s="105"/>
      <c r="G28" s="145">
        <f t="shared" si="0"/>
        <v>17600</v>
      </c>
      <c r="H28" s="27">
        <f>H29+H32+H36</f>
        <v>1760</v>
      </c>
      <c r="I28" s="27">
        <f>I29+I32+I36</f>
        <v>5280</v>
      </c>
      <c r="J28" s="27">
        <f>SUM(J29:J36)</f>
        <v>5280</v>
      </c>
      <c r="K28" s="27">
        <f>SUM(K29:K36)</f>
        <v>5280</v>
      </c>
      <c r="L28" s="43" t="e">
        <f>L29+L32+L36</f>
        <v>#DIV/0!</v>
      </c>
      <c r="M28" s="32" t="e">
        <f>G28/$N$9</f>
        <v>#DIV/0!</v>
      </c>
      <c r="N28" s="179">
        <f>G28/G19</f>
        <v>0.1</v>
      </c>
      <c r="O28" s="5"/>
    </row>
    <row r="29" spans="2:15" s="47" customFormat="1" ht="17.25" customHeight="1">
      <c r="B29" s="39" t="s">
        <v>2</v>
      </c>
      <c r="C29" s="37"/>
      <c r="D29" s="37"/>
      <c r="E29" s="48">
        <v>0.065</v>
      </c>
      <c r="F29" s="49"/>
      <c r="G29" s="155">
        <f t="shared" si="0"/>
        <v>11440</v>
      </c>
      <c r="H29" s="156">
        <f>+H19*6.5%</f>
        <v>1144</v>
      </c>
      <c r="I29" s="156">
        <f>+I19*6.5%</f>
        <v>3432</v>
      </c>
      <c r="J29" s="156">
        <f>+J19*6.5%</f>
        <v>3432</v>
      </c>
      <c r="K29" s="156">
        <f>+K19*6.5%</f>
        <v>3432</v>
      </c>
      <c r="L29" s="38" t="e">
        <f>M29</f>
        <v>#DIV/0!</v>
      </c>
      <c r="M29" s="32" t="e">
        <f t="shared" si="1"/>
        <v>#DIV/0!</v>
      </c>
      <c r="N29" s="179"/>
      <c r="O29" s="6"/>
    </row>
    <row r="30" spans="2:15" s="50" customFormat="1" ht="17.25" customHeight="1" hidden="1">
      <c r="B30" s="51" t="s">
        <v>3</v>
      </c>
      <c r="C30" s="52"/>
      <c r="D30" s="52" t="s">
        <v>4</v>
      </c>
      <c r="E30" s="53"/>
      <c r="F30" s="52" t="s">
        <v>5</v>
      </c>
      <c r="G30" s="157">
        <f t="shared" si="0"/>
        <v>0</v>
      </c>
      <c r="H30" s="158"/>
      <c r="I30" s="158"/>
      <c r="J30" s="158"/>
      <c r="K30" s="158"/>
      <c r="L30" s="38">
        <f>(H30/3*$L$19)/($H$19/3)</f>
        <v>0</v>
      </c>
      <c r="M30" s="32" t="e">
        <f t="shared" si="1"/>
        <v>#DIV/0!</v>
      </c>
      <c r="N30" s="180"/>
      <c r="O30" s="54"/>
    </row>
    <row r="31" spans="2:15" s="50" customFormat="1" ht="17.25" customHeight="1" hidden="1">
      <c r="B31" s="55" t="s">
        <v>6</v>
      </c>
      <c r="C31" s="56">
        <f>C30</f>
        <v>0</v>
      </c>
      <c r="D31" s="56" t="s">
        <v>7</v>
      </c>
      <c r="E31" s="57"/>
      <c r="F31" s="56"/>
      <c r="G31" s="159">
        <f t="shared" si="0"/>
        <v>0</v>
      </c>
      <c r="H31" s="158"/>
      <c r="I31" s="158"/>
      <c r="J31" s="158"/>
      <c r="K31" s="158"/>
      <c r="L31" s="38">
        <f>(H31/3*$L$19)/($H$19/3)</f>
        <v>0</v>
      </c>
      <c r="M31" s="32" t="e">
        <f t="shared" si="1"/>
        <v>#DIV/0!</v>
      </c>
      <c r="N31" s="180"/>
      <c r="O31" s="54"/>
    </row>
    <row r="32" spans="2:15" s="47" customFormat="1" ht="17.25" customHeight="1">
      <c r="B32" s="39" t="s">
        <v>8</v>
      </c>
      <c r="C32" s="37"/>
      <c r="D32" s="37"/>
      <c r="E32" s="48">
        <v>0.021</v>
      </c>
      <c r="F32" s="49"/>
      <c r="G32" s="155">
        <f t="shared" si="0"/>
        <v>3696</v>
      </c>
      <c r="H32" s="156">
        <f>+H19*2.1%</f>
        <v>369.6</v>
      </c>
      <c r="I32" s="156">
        <f>+I19*2.1%</f>
        <v>1108.8</v>
      </c>
      <c r="J32" s="156">
        <f>+J19*2.1%</f>
        <v>1108.8</v>
      </c>
      <c r="K32" s="156">
        <f>+K19*2.1%</f>
        <v>1108.8</v>
      </c>
      <c r="L32" s="38" t="e">
        <f>M32</f>
        <v>#DIV/0!</v>
      </c>
      <c r="M32" s="32" t="e">
        <f t="shared" si="1"/>
        <v>#DIV/0!</v>
      </c>
      <c r="N32" s="175"/>
      <c r="O32" s="6"/>
    </row>
    <row r="33" spans="2:16" s="50" customFormat="1" ht="15.75" hidden="1">
      <c r="B33" s="58"/>
      <c r="C33" s="52"/>
      <c r="D33" s="52">
        <f>1.44*24*3</f>
        <v>103.68</v>
      </c>
      <c r="E33" s="53" t="s">
        <v>48</v>
      </c>
      <c r="F33" s="106"/>
      <c r="G33" s="160"/>
      <c r="H33" s="158"/>
      <c r="I33" s="158"/>
      <c r="J33" s="158"/>
      <c r="K33" s="158"/>
      <c r="L33" s="38">
        <f>(H33/3*$L$19)/($H$19/3)</f>
        <v>0</v>
      </c>
      <c r="M33" s="32" t="e">
        <f>F33/$N$9</f>
        <v>#DIV/0!</v>
      </c>
      <c r="N33" s="180"/>
      <c r="O33" s="54"/>
      <c r="P33" s="50">
        <v>224</v>
      </c>
    </row>
    <row r="34" spans="2:15" s="50" customFormat="1" ht="15.75" hidden="1">
      <c r="B34" s="52" t="s">
        <v>36</v>
      </c>
      <c r="C34" s="54"/>
      <c r="D34" s="52"/>
      <c r="E34" s="53"/>
      <c r="F34" s="52"/>
      <c r="G34" s="161"/>
      <c r="H34" s="158"/>
      <c r="I34" s="158"/>
      <c r="J34" s="158"/>
      <c r="K34" s="158"/>
      <c r="L34" s="38">
        <f>(H34/3*$L$19)/($H$19/3)</f>
        <v>0</v>
      </c>
      <c r="M34" s="32" t="e">
        <f aca="true" t="shared" si="2" ref="M34:M72">G34/$N$9</f>
        <v>#DIV/0!</v>
      </c>
      <c r="N34" s="180"/>
      <c r="O34" s="54"/>
    </row>
    <row r="35" spans="2:15" s="50" customFormat="1" ht="15.75" hidden="1">
      <c r="B35" s="59"/>
      <c r="C35" s="52" t="s">
        <v>37</v>
      </c>
      <c r="D35" s="52"/>
      <c r="E35" s="53"/>
      <c r="F35" s="59"/>
      <c r="G35" s="161" t="s">
        <v>38</v>
      </c>
      <c r="H35" s="158"/>
      <c r="I35" s="158"/>
      <c r="J35" s="158"/>
      <c r="K35" s="158"/>
      <c r="L35" s="38">
        <f>(H35/3*$L$19)/($H$19/3)</f>
        <v>0</v>
      </c>
      <c r="M35" s="32" t="e">
        <f t="shared" si="2"/>
        <v>#VALUE!</v>
      </c>
      <c r="N35" s="180"/>
      <c r="O35" s="54"/>
    </row>
    <row r="36" spans="2:15" s="47" customFormat="1" ht="17.25" customHeight="1">
      <c r="B36" s="60" t="s">
        <v>9</v>
      </c>
      <c r="C36" s="37"/>
      <c r="D36" s="37"/>
      <c r="E36" s="48">
        <v>0.014</v>
      </c>
      <c r="F36" s="61"/>
      <c r="G36" s="155">
        <f>SUM(H36:K36)</f>
        <v>2464</v>
      </c>
      <c r="H36" s="156">
        <f>+H19*1.4%</f>
        <v>246.4</v>
      </c>
      <c r="I36" s="156">
        <f>+I19*1.4%</f>
        <v>739.2</v>
      </c>
      <c r="J36" s="156">
        <f>+J19*1.4%</f>
        <v>739.2</v>
      </c>
      <c r="K36" s="156">
        <f>+K19*1.4%</f>
        <v>739.2</v>
      </c>
      <c r="L36" s="38" t="e">
        <f>M36</f>
        <v>#DIV/0!</v>
      </c>
      <c r="M36" s="32" t="e">
        <f t="shared" si="2"/>
        <v>#DIV/0!</v>
      </c>
      <c r="N36" s="175"/>
      <c r="O36" s="6"/>
    </row>
    <row r="37" spans="2:16" s="50" customFormat="1" ht="18.75" hidden="1">
      <c r="B37" s="58" t="s">
        <v>10</v>
      </c>
      <c r="C37" s="52"/>
      <c r="D37" s="52">
        <f>50</f>
        <v>50</v>
      </c>
      <c r="E37" s="52" t="s">
        <v>49</v>
      </c>
      <c r="F37" s="54"/>
      <c r="G37" s="162"/>
      <c r="H37" s="163"/>
      <c r="I37" s="163"/>
      <c r="J37" s="163"/>
      <c r="K37" s="163"/>
      <c r="L37" s="62"/>
      <c r="M37" s="32" t="e">
        <f t="shared" si="2"/>
        <v>#DIV/0!</v>
      </c>
      <c r="N37" s="180"/>
      <c r="O37" s="54"/>
      <c r="P37" s="50">
        <v>224</v>
      </c>
    </row>
    <row r="38" spans="2:16" s="50" customFormat="1" ht="18.75" hidden="1">
      <c r="B38" s="58" t="s">
        <v>11</v>
      </c>
      <c r="C38" s="52"/>
      <c r="D38" s="52">
        <f>50</f>
        <v>50</v>
      </c>
      <c r="E38" s="52" t="s">
        <v>49</v>
      </c>
      <c r="F38" s="54"/>
      <c r="G38" s="162"/>
      <c r="H38" s="163"/>
      <c r="I38" s="163"/>
      <c r="J38" s="163"/>
      <c r="K38" s="163">
        <f>H38</f>
        <v>0</v>
      </c>
      <c r="L38" s="62"/>
      <c r="M38" s="32" t="e">
        <f t="shared" si="2"/>
        <v>#DIV/0!</v>
      </c>
      <c r="N38" s="180"/>
      <c r="O38" s="54"/>
      <c r="P38" s="50">
        <v>224</v>
      </c>
    </row>
    <row r="39" spans="2:15" s="47" customFormat="1" ht="11.25" customHeight="1" hidden="1">
      <c r="B39" s="63"/>
      <c r="C39" s="18"/>
      <c r="D39" s="18"/>
      <c r="E39" s="18"/>
      <c r="F39" s="18"/>
      <c r="G39" s="164"/>
      <c r="H39" s="164"/>
      <c r="I39" s="149"/>
      <c r="J39" s="165"/>
      <c r="K39" s="165"/>
      <c r="L39" s="62"/>
      <c r="M39" s="32" t="e">
        <f t="shared" si="2"/>
        <v>#DIV/0!</v>
      </c>
      <c r="N39" s="175"/>
      <c r="O39" s="6"/>
    </row>
    <row r="40" spans="2:15" s="44" customFormat="1" ht="18.75" customHeight="1" hidden="1">
      <c r="B40" s="45" t="s">
        <v>34</v>
      </c>
      <c r="C40" s="80"/>
      <c r="D40" s="80"/>
      <c r="E40" s="80"/>
      <c r="F40" s="80"/>
      <c r="G40" s="145"/>
      <c r="H40" s="146"/>
      <c r="I40" s="146"/>
      <c r="J40" s="146"/>
      <c r="K40" s="166"/>
      <c r="L40" s="64"/>
      <c r="M40" s="32" t="e">
        <f t="shared" si="2"/>
        <v>#DIV/0!</v>
      </c>
      <c r="N40" s="176"/>
      <c r="O40" s="5"/>
    </row>
    <row r="41" spans="2:15" s="44" customFormat="1" ht="20.25" customHeight="1" hidden="1">
      <c r="B41" s="77"/>
      <c r="C41" s="107"/>
      <c r="D41" s="107"/>
      <c r="E41" s="107"/>
      <c r="F41" s="107"/>
      <c r="G41" s="27">
        <f aca="true" t="shared" si="3" ref="G41:G51">SUM(H41:K41)</f>
        <v>0</v>
      </c>
      <c r="H41" s="167"/>
      <c r="I41" s="167"/>
      <c r="J41" s="167"/>
      <c r="K41" s="167"/>
      <c r="L41" s="46">
        <f>(H41/3*$L$19)/($H$19/3)</f>
        <v>0</v>
      </c>
      <c r="M41" s="32" t="e">
        <f t="shared" si="2"/>
        <v>#DIV/0!</v>
      </c>
      <c r="N41" s="176"/>
      <c r="O41" s="5"/>
    </row>
    <row r="42" spans="2:15" s="44" customFormat="1" ht="21" customHeight="1" hidden="1">
      <c r="B42" s="108" t="s">
        <v>35</v>
      </c>
      <c r="C42" s="109"/>
      <c r="D42" s="109"/>
      <c r="E42" s="109"/>
      <c r="F42" s="109"/>
      <c r="G42" s="27">
        <f t="shared" si="3"/>
        <v>0</v>
      </c>
      <c r="H42" s="146">
        <f>H43+H45+H46</f>
        <v>0</v>
      </c>
      <c r="I42" s="146">
        <f>I43+I45+I46</f>
        <v>0</v>
      </c>
      <c r="J42" s="146">
        <f>J43+J45+J46</f>
        <v>0</v>
      </c>
      <c r="K42" s="146">
        <f>K43+K45+K46</f>
        <v>0</v>
      </c>
      <c r="L42" s="40" t="e">
        <f>L43+L45+L46</f>
        <v>#DIV/0!</v>
      </c>
      <c r="M42" s="32" t="e">
        <f t="shared" si="2"/>
        <v>#DIV/0!</v>
      </c>
      <c r="N42" s="176"/>
      <c r="O42" s="5"/>
    </row>
    <row r="43" spans="2:15" s="67" customFormat="1" ht="15" customHeight="1" hidden="1">
      <c r="B43" s="60" t="s">
        <v>12</v>
      </c>
      <c r="C43" s="65"/>
      <c r="D43" s="65"/>
      <c r="E43" s="65"/>
      <c r="F43" s="61"/>
      <c r="G43" s="27">
        <f t="shared" si="3"/>
        <v>0</v>
      </c>
      <c r="H43" s="27"/>
      <c r="I43" s="27"/>
      <c r="J43" s="27"/>
      <c r="K43" s="27"/>
      <c r="L43" s="66">
        <f>(H43/3*$L$19)/($H$19/3)</f>
        <v>0</v>
      </c>
      <c r="M43" s="32" t="e">
        <f t="shared" si="2"/>
        <v>#DIV/0!</v>
      </c>
      <c r="N43" s="176"/>
      <c r="O43" s="5"/>
    </row>
    <row r="44" spans="2:15" s="50" customFormat="1" ht="15" customHeight="1" hidden="1">
      <c r="B44" s="58" t="s">
        <v>13</v>
      </c>
      <c r="C44" s="52"/>
      <c r="D44" s="52"/>
      <c r="E44" s="52"/>
      <c r="F44" s="52" t="s">
        <v>14</v>
      </c>
      <c r="G44" s="27">
        <f t="shared" si="3"/>
        <v>0</v>
      </c>
      <c r="H44" s="163">
        <f>ROUND(E44*0.976*1.18,1)</f>
        <v>0</v>
      </c>
      <c r="I44" s="163">
        <f>ROUND(E44*0.976*1.18,1)</f>
        <v>0</v>
      </c>
      <c r="J44" s="163">
        <f>ROUND(E44*0.976*1.18,1)</f>
        <v>0</v>
      </c>
      <c r="K44" s="163">
        <f>ROUND(E44*0.976*1.18,1)</f>
        <v>0</v>
      </c>
      <c r="L44" s="68">
        <f>(H44/3*$L$19)/($H$19/3)</f>
        <v>0</v>
      </c>
      <c r="M44" s="32" t="e">
        <f t="shared" si="2"/>
        <v>#DIV/0!</v>
      </c>
      <c r="N44" s="180"/>
      <c r="O44" s="54"/>
    </row>
    <row r="45" spans="2:15" s="47" customFormat="1" ht="15" customHeight="1" hidden="1">
      <c r="B45" s="39" t="s">
        <v>15</v>
      </c>
      <c r="C45" s="37"/>
      <c r="D45" s="37"/>
      <c r="E45" s="37"/>
      <c r="F45" s="49"/>
      <c r="G45" s="27">
        <f t="shared" si="3"/>
        <v>0</v>
      </c>
      <c r="H45" s="27"/>
      <c r="I45" s="27"/>
      <c r="J45" s="27"/>
      <c r="K45" s="27"/>
      <c r="L45" s="46" t="e">
        <f>M45</f>
        <v>#DIV/0!</v>
      </c>
      <c r="M45" s="32" t="e">
        <f t="shared" si="2"/>
        <v>#DIV/0!</v>
      </c>
      <c r="N45" s="175"/>
      <c r="O45" s="6"/>
    </row>
    <row r="46" spans="2:15" s="50" customFormat="1" ht="15" customHeight="1" hidden="1">
      <c r="B46" s="39" t="s">
        <v>16</v>
      </c>
      <c r="C46" s="69"/>
      <c r="D46" s="69"/>
      <c r="E46" s="69"/>
      <c r="F46" s="69"/>
      <c r="G46" s="27">
        <f t="shared" si="3"/>
        <v>0</v>
      </c>
      <c r="H46" s="27"/>
      <c r="I46" s="27"/>
      <c r="J46" s="27"/>
      <c r="K46" s="27"/>
      <c r="L46" s="70" t="e">
        <f>M46</f>
        <v>#DIV/0!</v>
      </c>
      <c r="M46" s="32" t="e">
        <f t="shared" si="2"/>
        <v>#DIV/0!</v>
      </c>
      <c r="N46" s="180"/>
      <c r="O46" s="54"/>
    </row>
    <row r="47" spans="2:15" s="44" customFormat="1" ht="18" customHeight="1">
      <c r="B47" s="2" t="s">
        <v>128</v>
      </c>
      <c r="C47" s="105"/>
      <c r="D47" s="105"/>
      <c r="E47" s="105"/>
      <c r="F47" s="105"/>
      <c r="G47" s="27">
        <f t="shared" si="3"/>
        <v>11087</v>
      </c>
      <c r="H47" s="27">
        <f>SUM(H48:H51)</f>
        <v>1109</v>
      </c>
      <c r="I47" s="27">
        <f>SUM(I48:I51)</f>
        <v>3326</v>
      </c>
      <c r="J47" s="27">
        <f>SUM(J48:J51)</f>
        <v>3326</v>
      </c>
      <c r="K47" s="27">
        <f>SUM(K48:K51)</f>
        <v>3326</v>
      </c>
      <c r="L47" s="46" t="e">
        <f>L48+L49+L50</f>
        <v>#DIV/0!</v>
      </c>
      <c r="M47" s="32" t="e">
        <f t="shared" si="2"/>
        <v>#DIV/0!</v>
      </c>
      <c r="N47" s="176"/>
      <c r="O47" s="5"/>
    </row>
    <row r="48" spans="2:15" s="47" customFormat="1" ht="32.25" customHeight="1">
      <c r="B48" s="308" t="s">
        <v>150</v>
      </c>
      <c r="C48" s="309"/>
      <c r="D48" s="309"/>
      <c r="E48" s="71">
        <v>0.05</v>
      </c>
      <c r="F48" s="37"/>
      <c r="G48" s="27">
        <f t="shared" si="3"/>
        <v>8800</v>
      </c>
      <c r="H48" s="27">
        <f>H19*5%</f>
        <v>880</v>
      </c>
      <c r="I48" s="27">
        <f>I19*5%</f>
        <v>2640</v>
      </c>
      <c r="J48" s="27">
        <f>J19*5%</f>
        <v>2640</v>
      </c>
      <c r="K48" s="27">
        <f>K19*5%</f>
        <v>2640</v>
      </c>
      <c r="L48" s="70" t="e">
        <f>M48</f>
        <v>#DIV/0!</v>
      </c>
      <c r="M48" s="32" t="e">
        <f t="shared" si="2"/>
        <v>#DIV/0!</v>
      </c>
      <c r="N48" s="179">
        <f>G48/G19</f>
        <v>0.05</v>
      </c>
      <c r="O48" s="6"/>
    </row>
    <row r="49" spans="2:15" s="47" customFormat="1" ht="18.75" customHeight="1">
      <c r="B49" s="39" t="s">
        <v>105</v>
      </c>
      <c r="C49" s="42"/>
      <c r="D49" s="42"/>
      <c r="E49" s="121">
        <v>0.013</v>
      </c>
      <c r="F49" s="85"/>
      <c r="G49" s="27">
        <f>SUM(H49:K49)</f>
        <v>2287</v>
      </c>
      <c r="H49" s="27">
        <f>H19*1.3%</f>
        <v>229</v>
      </c>
      <c r="I49" s="27">
        <f>I19*1.3%</f>
        <v>686</v>
      </c>
      <c r="J49" s="27">
        <f>J19*1.3%</f>
        <v>686</v>
      </c>
      <c r="K49" s="27">
        <f>K19*1.3%</f>
        <v>686</v>
      </c>
      <c r="L49" s="40">
        <f>G49/7296</f>
        <v>0.3</v>
      </c>
      <c r="M49" s="32" t="e">
        <f t="shared" si="2"/>
        <v>#DIV/0!</v>
      </c>
      <c r="N49" s="179">
        <f>G49/G19</f>
        <v>0.013</v>
      </c>
      <c r="O49" s="6"/>
    </row>
    <row r="50" spans="2:15" s="47" customFormat="1" ht="15" customHeight="1" hidden="1">
      <c r="B50" s="39" t="s">
        <v>50</v>
      </c>
      <c r="C50" s="65"/>
      <c r="D50" s="65"/>
      <c r="E50" s="65"/>
      <c r="F50" s="65"/>
      <c r="G50" s="27">
        <f t="shared" si="3"/>
        <v>0</v>
      </c>
      <c r="H50" s="27"/>
      <c r="I50" s="27"/>
      <c r="J50" s="27"/>
      <c r="K50" s="27"/>
      <c r="L50" s="40">
        <f>L51</f>
        <v>0</v>
      </c>
      <c r="M50" s="32" t="e">
        <f t="shared" si="2"/>
        <v>#DIV/0!</v>
      </c>
      <c r="N50" s="175"/>
      <c r="O50" s="6"/>
    </row>
    <row r="51" spans="2:15" s="50" customFormat="1" ht="16.5" customHeight="1" hidden="1">
      <c r="B51" s="1" t="s">
        <v>101</v>
      </c>
      <c r="C51" s="72"/>
      <c r="D51" s="72"/>
      <c r="E51" s="73">
        <v>0.6</v>
      </c>
      <c r="F51" s="72"/>
      <c r="G51" s="27">
        <f t="shared" si="3"/>
        <v>0</v>
      </c>
      <c r="H51" s="27">
        <f>H19*60%-H20</f>
        <v>0</v>
      </c>
      <c r="I51" s="27">
        <f>I19*60%-I20</f>
        <v>0</v>
      </c>
      <c r="J51" s="27">
        <f>J19*60%-J20</f>
        <v>0</v>
      </c>
      <c r="K51" s="27">
        <f>K19*60%-K20</f>
        <v>0</v>
      </c>
      <c r="L51" s="74">
        <f>G51/1440</f>
        <v>0</v>
      </c>
      <c r="M51" s="32" t="e">
        <f t="shared" si="2"/>
        <v>#DIV/0!</v>
      </c>
      <c r="N51" s="180"/>
      <c r="O51" s="54"/>
    </row>
    <row r="52" spans="2:15" s="50" customFormat="1" ht="15" customHeight="1" hidden="1">
      <c r="B52" s="58"/>
      <c r="C52" s="52"/>
      <c r="D52" s="52"/>
      <c r="E52" s="52"/>
      <c r="F52" s="52"/>
      <c r="G52" s="145"/>
      <c r="H52" s="146"/>
      <c r="I52" s="146"/>
      <c r="J52" s="146"/>
      <c r="K52" s="166"/>
      <c r="L52" s="75"/>
      <c r="M52" s="32" t="e">
        <f t="shared" si="2"/>
        <v>#DIV/0!</v>
      </c>
      <c r="N52" s="180"/>
      <c r="O52" s="54"/>
    </row>
    <row r="53" spans="1:14" s="6" customFormat="1" ht="15" customHeight="1" hidden="1">
      <c r="A53" s="18"/>
      <c r="B53" s="110" t="s">
        <v>17</v>
      </c>
      <c r="C53" s="111"/>
      <c r="D53" s="111"/>
      <c r="E53" s="111"/>
      <c r="F53" s="111"/>
      <c r="G53" s="145">
        <f aca="true" t="shared" si="4" ref="G53:L53">G54+G55</f>
        <v>0</v>
      </c>
      <c r="H53" s="145">
        <f t="shared" si="4"/>
        <v>0</v>
      </c>
      <c r="I53" s="145">
        <f t="shared" si="4"/>
        <v>0</v>
      </c>
      <c r="J53" s="145">
        <f t="shared" si="4"/>
        <v>0</v>
      </c>
      <c r="K53" s="145">
        <f t="shared" si="4"/>
        <v>0</v>
      </c>
      <c r="L53" s="76" t="e">
        <f t="shared" si="4"/>
        <v>#DIV/0!</v>
      </c>
      <c r="M53" s="32" t="e">
        <f t="shared" si="2"/>
        <v>#DIV/0!</v>
      </c>
      <c r="N53" s="175"/>
    </row>
    <row r="54" spans="1:14" s="6" customFormat="1" ht="15" customHeight="1" hidden="1">
      <c r="A54" s="18"/>
      <c r="B54" s="58" t="s">
        <v>56</v>
      </c>
      <c r="C54" s="104"/>
      <c r="D54" s="104"/>
      <c r="E54" s="104"/>
      <c r="F54" s="104"/>
      <c r="G54" s="27"/>
      <c r="H54" s="27"/>
      <c r="I54" s="27"/>
      <c r="J54" s="27"/>
      <c r="K54" s="27"/>
      <c r="L54" s="76" t="e">
        <f>M54</f>
        <v>#DIV/0!</v>
      </c>
      <c r="M54" s="32" t="e">
        <f t="shared" si="2"/>
        <v>#DIV/0!</v>
      </c>
      <c r="N54" s="175"/>
    </row>
    <row r="55" spans="1:14" s="6" customFormat="1" ht="15" customHeight="1" hidden="1">
      <c r="A55" s="18"/>
      <c r="B55" s="77" t="s">
        <v>55</v>
      </c>
      <c r="C55" s="112"/>
      <c r="D55" s="112"/>
      <c r="E55" s="112"/>
      <c r="F55" s="113"/>
      <c r="G55" s="148">
        <f>SUM(H55:K55)</f>
        <v>0</v>
      </c>
      <c r="H55" s="148"/>
      <c r="I55" s="168"/>
      <c r="J55" s="148"/>
      <c r="K55" s="169"/>
      <c r="L55" s="75" t="e">
        <f>M55</f>
        <v>#DIV/0!</v>
      </c>
      <c r="M55" s="32" t="e">
        <f t="shared" si="2"/>
        <v>#DIV/0!</v>
      </c>
      <c r="N55" s="175"/>
    </row>
    <row r="56" spans="1:14" s="6" customFormat="1" ht="15" customHeight="1" hidden="1">
      <c r="A56" s="18"/>
      <c r="B56" s="114"/>
      <c r="C56" s="115"/>
      <c r="D56" s="115"/>
      <c r="E56" s="115"/>
      <c r="F56" s="115"/>
      <c r="G56" s="170">
        <f>SUM(H56:K56)</f>
        <v>0</v>
      </c>
      <c r="H56" s="170"/>
      <c r="I56" s="170"/>
      <c r="J56" s="170"/>
      <c r="K56" s="170"/>
      <c r="L56" s="78">
        <f>G56/7296</f>
        <v>0</v>
      </c>
      <c r="M56" s="32" t="e">
        <f t="shared" si="2"/>
        <v>#DIV/0!</v>
      </c>
      <c r="N56" s="175"/>
    </row>
    <row r="57" spans="1:14" s="6" customFormat="1" ht="24.75" customHeight="1">
      <c r="A57" s="18"/>
      <c r="B57" s="119" t="s">
        <v>131</v>
      </c>
      <c r="C57" s="120"/>
      <c r="D57" s="120"/>
      <c r="E57" s="120"/>
      <c r="F57" s="120"/>
      <c r="G57" s="153">
        <f>SUM(H57:K57)</f>
        <v>41713</v>
      </c>
      <c r="H57" s="153">
        <f>H64+H58</f>
        <v>4171</v>
      </c>
      <c r="I57" s="153">
        <f>I64+I58</f>
        <v>12514</v>
      </c>
      <c r="J57" s="153">
        <f>J64+J58</f>
        <v>12514</v>
      </c>
      <c r="K57" s="153">
        <f>K64+K58</f>
        <v>12514</v>
      </c>
      <c r="L57" s="79" t="e">
        <f>L64+L58</f>
        <v>#DIV/0!</v>
      </c>
      <c r="M57" s="32" t="e">
        <f t="shared" si="2"/>
        <v>#DIV/0!</v>
      </c>
      <c r="N57" s="179">
        <f>G57/G19</f>
        <v>0.237</v>
      </c>
    </row>
    <row r="58" spans="2:14" s="5" customFormat="1" ht="17.25" customHeight="1">
      <c r="B58" s="3" t="s">
        <v>108</v>
      </c>
      <c r="C58" s="80"/>
      <c r="D58" s="80"/>
      <c r="E58" s="80"/>
      <c r="F58" s="80"/>
      <c r="G58" s="171">
        <f aca="true" t="shared" si="5" ref="G58:G75">SUM(H58:K58)</f>
        <v>41713</v>
      </c>
      <c r="H58" s="171">
        <f>H59</f>
        <v>4171</v>
      </c>
      <c r="I58" s="171">
        <f>I59</f>
        <v>12514</v>
      </c>
      <c r="J58" s="171">
        <f>J59</f>
        <v>12514</v>
      </c>
      <c r="K58" s="171">
        <f>K59</f>
        <v>12514</v>
      </c>
      <c r="L58" s="81" t="e">
        <f>M58</f>
        <v>#DIV/0!</v>
      </c>
      <c r="M58" s="32" t="e">
        <f t="shared" si="2"/>
        <v>#DIV/0!</v>
      </c>
      <c r="N58" s="176"/>
    </row>
    <row r="59" spans="2:15" s="67" customFormat="1" ht="17.25" customHeight="1">
      <c r="B59" s="39" t="s">
        <v>54</v>
      </c>
      <c r="C59" s="37"/>
      <c r="D59" s="37"/>
      <c r="E59" s="37"/>
      <c r="F59" s="37"/>
      <c r="G59" s="27">
        <f>SUM(H59:K59)</f>
        <v>41713</v>
      </c>
      <c r="H59" s="27">
        <f>H19*23.7%</f>
        <v>4171</v>
      </c>
      <c r="I59" s="27">
        <f>I19*23.7%</f>
        <v>12514</v>
      </c>
      <c r="J59" s="27">
        <f>J19*23.7%</f>
        <v>12514</v>
      </c>
      <c r="K59" s="27">
        <f>K19*23.7%</f>
        <v>12514</v>
      </c>
      <c r="L59" s="81" t="e">
        <f>G59/$N$9</f>
        <v>#DIV/0!</v>
      </c>
      <c r="M59" s="32" t="e">
        <f t="shared" si="2"/>
        <v>#DIV/0!</v>
      </c>
      <c r="N59" s="176"/>
      <c r="O59" s="5"/>
    </row>
    <row r="60" spans="2:15" s="67" customFormat="1" ht="17.25" customHeight="1" hidden="1">
      <c r="B60" s="39" t="s">
        <v>18</v>
      </c>
      <c r="C60" s="37"/>
      <c r="D60" s="37"/>
      <c r="E60" s="37"/>
      <c r="F60" s="37"/>
      <c r="G60" s="27">
        <f t="shared" si="5"/>
        <v>0</v>
      </c>
      <c r="H60" s="27"/>
      <c r="I60" s="27"/>
      <c r="J60" s="27"/>
      <c r="K60" s="27"/>
      <c r="L60" s="82" t="e">
        <f>G60/$N$9</f>
        <v>#DIV/0!</v>
      </c>
      <c r="M60" s="32" t="e">
        <f t="shared" si="2"/>
        <v>#DIV/0!</v>
      </c>
      <c r="N60" s="176"/>
      <c r="O60" s="5"/>
    </row>
    <row r="61" spans="2:15" s="67" customFormat="1" ht="17.25" customHeight="1" hidden="1">
      <c r="B61" s="60" t="s">
        <v>96</v>
      </c>
      <c r="C61" s="65"/>
      <c r="D61" s="65"/>
      <c r="E61" s="65"/>
      <c r="F61" s="65"/>
      <c r="G61" s="27">
        <f t="shared" si="5"/>
        <v>0</v>
      </c>
      <c r="H61" s="27"/>
      <c r="I61" s="27"/>
      <c r="J61" s="27"/>
      <c r="K61" s="27"/>
      <c r="L61" s="82"/>
      <c r="M61" s="32"/>
      <c r="N61" s="176"/>
      <c r="O61" s="5"/>
    </row>
    <row r="62" spans="2:15" s="47" customFormat="1" ht="17.25" customHeight="1" hidden="1">
      <c r="B62" s="60" t="s">
        <v>51</v>
      </c>
      <c r="C62" s="65"/>
      <c r="D62" s="65"/>
      <c r="E62" s="65"/>
      <c r="F62" s="65"/>
      <c r="G62" s="27">
        <f t="shared" si="5"/>
        <v>0</v>
      </c>
      <c r="H62" s="27"/>
      <c r="I62" s="27"/>
      <c r="J62" s="27"/>
      <c r="K62" s="27"/>
      <c r="L62" s="82" t="e">
        <f>M62</f>
        <v>#DIV/0!</v>
      </c>
      <c r="M62" s="32" t="e">
        <f t="shared" si="2"/>
        <v>#DIV/0!</v>
      </c>
      <c r="N62" s="175"/>
      <c r="O62" s="6"/>
    </row>
    <row r="63" spans="2:15" s="47" customFormat="1" ht="17.25" customHeight="1" hidden="1">
      <c r="B63" s="39" t="s">
        <v>53</v>
      </c>
      <c r="C63" s="37"/>
      <c r="D63" s="37"/>
      <c r="E63" s="37"/>
      <c r="F63" s="37"/>
      <c r="G63" s="27">
        <f t="shared" si="5"/>
        <v>0</v>
      </c>
      <c r="H63" s="27"/>
      <c r="I63" s="27"/>
      <c r="J63" s="27"/>
      <c r="K63" s="27"/>
      <c r="L63" s="82" t="e">
        <f>G63/$N$9</f>
        <v>#DIV/0!</v>
      </c>
      <c r="M63" s="32" t="e">
        <f t="shared" si="2"/>
        <v>#DIV/0!</v>
      </c>
      <c r="N63" s="175"/>
      <c r="O63" s="6"/>
    </row>
    <row r="64" spans="2:15" s="44" customFormat="1" ht="16.5" customHeight="1" hidden="1">
      <c r="B64" s="2" t="s">
        <v>107</v>
      </c>
      <c r="C64" s="105"/>
      <c r="D64" s="105"/>
      <c r="E64" s="105"/>
      <c r="F64" s="105"/>
      <c r="G64" s="27">
        <f t="shared" si="5"/>
        <v>0</v>
      </c>
      <c r="H64" s="27"/>
      <c r="I64" s="27"/>
      <c r="J64" s="27"/>
      <c r="K64" s="27"/>
      <c r="L64" s="81" t="e">
        <f>L66+L67+L68</f>
        <v>#DIV/0!</v>
      </c>
      <c r="M64" s="32" t="e">
        <f t="shared" si="2"/>
        <v>#DIV/0!</v>
      </c>
      <c r="N64" s="176"/>
      <c r="O64" s="5"/>
    </row>
    <row r="65" spans="2:15" s="67" customFormat="1" ht="15" customHeight="1" hidden="1">
      <c r="B65" s="39" t="s">
        <v>19</v>
      </c>
      <c r="C65" s="83"/>
      <c r="D65" s="83"/>
      <c r="E65" s="83"/>
      <c r="F65" s="83"/>
      <c r="G65" s="27">
        <f t="shared" si="5"/>
        <v>0</v>
      </c>
      <c r="H65" s="27"/>
      <c r="I65" s="27"/>
      <c r="J65" s="27"/>
      <c r="K65" s="27"/>
      <c r="L65" s="82" t="e">
        <f>G65/$N$9</f>
        <v>#DIV/0!</v>
      </c>
      <c r="M65" s="32" t="e">
        <f t="shared" si="2"/>
        <v>#DIV/0!</v>
      </c>
      <c r="N65" s="176"/>
      <c r="O65" s="5"/>
    </row>
    <row r="66" spans="2:15" s="67" customFormat="1" ht="15" customHeight="1" hidden="1">
      <c r="B66" s="39" t="s">
        <v>20</v>
      </c>
      <c r="C66" s="37"/>
      <c r="D66" s="37"/>
      <c r="E66" s="37"/>
      <c r="F66" s="37"/>
      <c r="G66" s="27">
        <f t="shared" si="5"/>
        <v>0</v>
      </c>
      <c r="H66" s="27"/>
      <c r="I66" s="27"/>
      <c r="J66" s="27"/>
      <c r="K66" s="27"/>
      <c r="L66" s="82" t="e">
        <f>G66/$N$9</f>
        <v>#DIV/0!</v>
      </c>
      <c r="M66" s="32" t="e">
        <f t="shared" si="2"/>
        <v>#DIV/0!</v>
      </c>
      <c r="N66" s="176"/>
      <c r="O66" s="5"/>
    </row>
    <row r="67" spans="2:15" s="47" customFormat="1" ht="15" customHeight="1" hidden="1">
      <c r="B67" s="39" t="s">
        <v>21</v>
      </c>
      <c r="C67" s="37"/>
      <c r="D67" s="37"/>
      <c r="E67" s="37"/>
      <c r="F67" s="37"/>
      <c r="G67" s="27">
        <f t="shared" si="5"/>
        <v>0</v>
      </c>
      <c r="H67" s="27"/>
      <c r="I67" s="27"/>
      <c r="J67" s="27"/>
      <c r="K67" s="27"/>
      <c r="L67" s="82" t="e">
        <f>G67/$N$9</f>
        <v>#DIV/0!</v>
      </c>
      <c r="M67" s="32" t="e">
        <f t="shared" si="2"/>
        <v>#DIV/0!</v>
      </c>
      <c r="N67" s="175"/>
      <c r="O67" s="6"/>
    </row>
    <row r="68" spans="2:15" s="47" customFormat="1" ht="15" customHeight="1" hidden="1">
      <c r="B68" s="39" t="s">
        <v>22</v>
      </c>
      <c r="C68" s="37"/>
      <c r="D68" s="37"/>
      <c r="E68" s="37"/>
      <c r="F68" s="37"/>
      <c r="G68" s="27">
        <f t="shared" si="5"/>
        <v>0</v>
      </c>
      <c r="H68" s="27">
        <f>SUM(H69:H74)</f>
        <v>0</v>
      </c>
      <c r="I68" s="27">
        <f>SUM(I69:I74)</f>
        <v>0</v>
      </c>
      <c r="J68" s="27">
        <f>SUM(J69:J74)</f>
        <v>0</v>
      </c>
      <c r="K68" s="27">
        <f>SUM(K69:K74)</f>
        <v>0</v>
      </c>
      <c r="L68" s="76" t="e">
        <f>SUM(L69:L74)</f>
        <v>#DIV/0!</v>
      </c>
      <c r="M68" s="32" t="e">
        <f t="shared" si="2"/>
        <v>#DIV/0!</v>
      </c>
      <c r="N68" s="175"/>
      <c r="O68" s="6"/>
    </row>
    <row r="69" spans="2:15" s="47" customFormat="1" ht="15" customHeight="1" hidden="1">
      <c r="B69" s="122" t="s">
        <v>23</v>
      </c>
      <c r="C69" s="123"/>
      <c r="D69" s="123"/>
      <c r="E69" s="123"/>
      <c r="F69" s="124"/>
      <c r="G69" s="27">
        <f t="shared" si="5"/>
        <v>0</v>
      </c>
      <c r="H69" s="27"/>
      <c r="I69" s="27"/>
      <c r="J69" s="27"/>
      <c r="K69" s="27"/>
      <c r="L69" s="70" t="e">
        <f aca="true" t="shared" si="6" ref="L69:L74">M69</f>
        <v>#DIV/0!</v>
      </c>
      <c r="M69" s="32" t="e">
        <f t="shared" si="2"/>
        <v>#DIV/0!</v>
      </c>
      <c r="N69" s="175"/>
      <c r="O69" s="6"/>
    </row>
    <row r="70" spans="2:15" s="47" customFormat="1" ht="16.5" customHeight="1" hidden="1">
      <c r="B70" s="60" t="s">
        <v>24</v>
      </c>
      <c r="C70" s="65"/>
      <c r="D70" s="65"/>
      <c r="E70" s="65"/>
      <c r="F70" s="86"/>
      <c r="G70" s="166">
        <f t="shared" si="5"/>
        <v>0</v>
      </c>
      <c r="H70" s="27"/>
      <c r="I70" s="27"/>
      <c r="J70" s="27"/>
      <c r="K70" s="27"/>
      <c r="L70" s="43" t="e">
        <f t="shared" si="6"/>
        <v>#DIV/0!</v>
      </c>
      <c r="M70" s="32" t="e">
        <f t="shared" si="2"/>
        <v>#DIV/0!</v>
      </c>
      <c r="N70" s="175"/>
      <c r="O70" s="6"/>
    </row>
    <row r="71" spans="2:15" s="47" customFormat="1" ht="15" customHeight="1" hidden="1">
      <c r="B71" s="60" t="s">
        <v>25</v>
      </c>
      <c r="C71" s="65"/>
      <c r="D71" s="65"/>
      <c r="E71" s="65"/>
      <c r="F71" s="86"/>
      <c r="G71" s="27">
        <f>+H71+I71+J71+K71</f>
        <v>0</v>
      </c>
      <c r="H71" s="27"/>
      <c r="I71" s="27"/>
      <c r="J71" s="27"/>
      <c r="K71" s="27"/>
      <c r="L71" s="87" t="e">
        <f>L19-L70-L25</f>
        <v>#DIV/0!</v>
      </c>
      <c r="M71" s="8" t="e">
        <f>G74/$N$9</f>
        <v>#DIV/0!</v>
      </c>
      <c r="N71" s="175"/>
      <c r="O71" s="6"/>
    </row>
    <row r="72" spans="2:15" s="47" customFormat="1" ht="15" customHeight="1" hidden="1">
      <c r="B72" s="39" t="s">
        <v>98</v>
      </c>
      <c r="C72" s="37"/>
      <c r="D72" s="37"/>
      <c r="E72" s="37"/>
      <c r="F72" s="84"/>
      <c r="G72" s="27">
        <f t="shared" si="5"/>
        <v>0</v>
      </c>
      <c r="H72" s="27"/>
      <c r="I72" s="27"/>
      <c r="J72" s="27"/>
      <c r="K72" s="27"/>
      <c r="L72" s="82" t="e">
        <f t="shared" si="6"/>
        <v>#DIV/0!</v>
      </c>
      <c r="M72" s="8" t="e">
        <f t="shared" si="2"/>
        <v>#DIV/0!</v>
      </c>
      <c r="N72" s="175"/>
      <c r="O72" s="6"/>
    </row>
    <row r="73" spans="2:15" s="47" customFormat="1" ht="15" customHeight="1" hidden="1">
      <c r="B73" s="39" t="s">
        <v>52</v>
      </c>
      <c r="C73" s="37"/>
      <c r="D73" s="37"/>
      <c r="E73" s="37"/>
      <c r="F73" s="84"/>
      <c r="G73" s="27">
        <f t="shared" si="5"/>
        <v>0</v>
      </c>
      <c r="H73" s="27"/>
      <c r="I73" s="27"/>
      <c r="J73" s="27"/>
      <c r="K73" s="27"/>
      <c r="L73" s="46">
        <f t="shared" si="6"/>
        <v>0</v>
      </c>
      <c r="M73" s="8"/>
      <c r="N73" s="175"/>
      <c r="O73" s="6"/>
    </row>
    <row r="74" spans="2:15" s="47" customFormat="1" ht="15" customHeight="1" hidden="1">
      <c r="B74" s="39" t="s">
        <v>26</v>
      </c>
      <c r="C74" s="37"/>
      <c r="D74" s="37"/>
      <c r="E74" s="37"/>
      <c r="F74" s="84"/>
      <c r="G74" s="27">
        <f>SUM(H74:K74)</f>
        <v>0</v>
      </c>
      <c r="H74" s="27"/>
      <c r="I74" s="27"/>
      <c r="J74" s="27"/>
      <c r="K74" s="27"/>
      <c r="L74" s="82">
        <f t="shared" si="6"/>
        <v>0</v>
      </c>
      <c r="M74" s="8"/>
      <c r="N74" s="175"/>
      <c r="O74" s="6"/>
    </row>
    <row r="75" spans="2:15" s="50" customFormat="1" ht="15" customHeight="1" hidden="1">
      <c r="B75" s="1" t="s">
        <v>27</v>
      </c>
      <c r="C75" s="72"/>
      <c r="D75" s="72"/>
      <c r="E75" s="72"/>
      <c r="F75" s="72"/>
      <c r="G75" s="27">
        <f t="shared" si="5"/>
        <v>0</v>
      </c>
      <c r="H75" s="27"/>
      <c r="I75" s="27"/>
      <c r="J75" s="27"/>
      <c r="K75" s="27"/>
      <c r="L75" s="46">
        <f>G75/7296</f>
        <v>0</v>
      </c>
      <c r="M75" s="8">
        <f>G75/7296</f>
        <v>0</v>
      </c>
      <c r="N75" s="180"/>
      <c r="O75" s="54"/>
    </row>
    <row r="76" spans="2:12" ht="36.75" customHeight="1">
      <c r="B76" s="225" t="s">
        <v>156</v>
      </c>
      <c r="C76" s="225"/>
      <c r="D76" s="225"/>
      <c r="E76" s="227"/>
      <c r="F76" s="225" t="s">
        <v>157</v>
      </c>
      <c r="G76" s="226"/>
      <c r="H76" s="7"/>
      <c r="I76" s="89"/>
      <c r="J76" s="7"/>
      <c r="K76" s="7"/>
      <c r="L76" s="90"/>
    </row>
    <row r="77" spans="2:12" ht="24.75" customHeight="1">
      <c r="B77" s="6" t="s">
        <v>144</v>
      </c>
      <c r="C77" s="6"/>
      <c r="D77" s="6"/>
      <c r="E77" s="125"/>
      <c r="F77" s="144" t="str">
        <f>'резерв отпускных (5)'!D20</f>
        <v>А.Р. Саттарова</v>
      </c>
      <c r="G77" s="143"/>
      <c r="H77" s="7"/>
      <c r="I77" s="7"/>
      <c r="J77" s="7"/>
      <c r="K77" s="7"/>
      <c r="L77" s="92" t="e">
        <f>L19-L21-L26-L27-L28-L41-L42-L47-L53-L57</f>
        <v>#DIV/0!</v>
      </c>
    </row>
    <row r="78" spans="2:12" ht="24.75" customHeight="1">
      <c r="B78" s="6"/>
      <c r="C78" s="6"/>
      <c r="D78" s="6"/>
      <c r="E78" s="6"/>
      <c r="F78" s="6"/>
      <c r="G78" s="7"/>
      <c r="H78" s="7"/>
      <c r="I78" s="7"/>
      <c r="J78" s="7"/>
      <c r="K78" s="93"/>
      <c r="L78" s="92"/>
    </row>
    <row r="79" spans="2:12" ht="24.75" customHeight="1" hidden="1">
      <c r="B79" s="6"/>
      <c r="C79" s="6"/>
      <c r="D79" s="6"/>
      <c r="E79" s="6"/>
      <c r="F79" s="6"/>
      <c r="G79" s="7"/>
      <c r="H79" s="7"/>
      <c r="I79" s="7"/>
      <c r="J79" s="7"/>
      <c r="K79" s="93"/>
      <c r="L79" s="92"/>
    </row>
    <row r="80" spans="2:11" ht="18.75" customHeight="1">
      <c r="B80" s="6"/>
      <c r="C80" s="6"/>
      <c r="D80" s="6"/>
      <c r="E80" s="18"/>
      <c r="F80" s="202"/>
      <c r="H80" s="202"/>
      <c r="I80" s="94"/>
      <c r="J80" s="7"/>
      <c r="K80" s="7"/>
    </row>
    <row r="81" spans="9:11" ht="12.75" customHeight="1">
      <c r="I81" s="94"/>
      <c r="J81" s="7"/>
      <c r="K81" s="7"/>
    </row>
    <row r="82" spans="9:11" ht="18.75" customHeight="1">
      <c r="I82" s="94"/>
      <c r="J82" s="7"/>
      <c r="K82" s="7"/>
    </row>
    <row r="83" spans="9:13" ht="12.75" customHeight="1">
      <c r="I83" s="94"/>
      <c r="L83" s="95" t="e">
        <f>L21+L26+L28+L42+L47+L53+L57+L27+L23</f>
        <v>#DIV/0!</v>
      </c>
      <c r="M83" s="96" t="e">
        <f>M21+M26+M28+M42+M47+M53+M57+M27+M23</f>
        <v>#DIV/0!</v>
      </c>
    </row>
    <row r="84" ht="12.75" customHeight="1">
      <c r="I84" s="94"/>
    </row>
    <row r="85" spans="3:12" ht="12.75" customHeight="1">
      <c r="C85" s="97"/>
      <c r="L85" s="98"/>
    </row>
    <row r="86" ht="12.75" customHeight="1">
      <c r="I86" s="94"/>
    </row>
    <row r="87" ht="12.75" customHeight="1">
      <c r="I87" s="94"/>
    </row>
    <row r="88" ht="12.75" customHeight="1">
      <c r="I88" s="94"/>
    </row>
    <row r="89" ht="12.75" customHeight="1">
      <c r="I89" s="94"/>
    </row>
    <row r="90" ht="12.75" customHeight="1">
      <c r="I90" s="94"/>
    </row>
    <row r="91" ht="12.75" customHeight="1">
      <c r="I91" s="94"/>
    </row>
    <row r="92" ht="12.75" customHeight="1">
      <c r="I92" s="94"/>
    </row>
    <row r="93" ht="12.75" customHeight="1">
      <c r="I93" s="94"/>
    </row>
  </sheetData>
  <sheetProtection/>
  <mergeCells count="6">
    <mergeCell ref="B48:D48"/>
    <mergeCell ref="B2:K2"/>
    <mergeCell ref="P3:S3"/>
    <mergeCell ref="H17:I17"/>
    <mergeCell ref="J17:K17"/>
    <mergeCell ref="N17:N18"/>
  </mergeCells>
  <printOptions/>
  <pageMargins left="0.5905511811023623" right="0.1968503937007874" top="0.17" bottom="0.16" header="0" footer="0"/>
  <pageSetup fitToHeight="1" fitToWidth="1"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53"/>
  <sheetViews>
    <sheetView view="pageBreakPreview" zoomScale="90" zoomScaleSheetLayoutView="90" zoomScalePageLayoutView="0" workbookViewId="0" topLeftCell="A1">
      <selection activeCell="N26" sqref="N26"/>
    </sheetView>
  </sheetViews>
  <sheetFormatPr defaultColWidth="9.00390625" defaultRowHeight="12.75"/>
  <cols>
    <col min="1" max="1" width="2.375" style="88" customWidth="1"/>
    <col min="2" max="2" width="4.75390625" style="88" customWidth="1"/>
    <col min="3" max="3" width="44.25390625" style="88" customWidth="1"/>
    <col min="4" max="4" width="15.625" style="88" customWidth="1"/>
    <col min="5" max="5" width="13.375" style="88" hidden="1" customWidth="1"/>
    <col min="6" max="7" width="9.125" style="88" customWidth="1"/>
    <col min="8" max="8" width="11.625" style="88" customWidth="1"/>
    <col min="9" max="16384" width="9.125" style="88" customWidth="1"/>
  </cols>
  <sheetData>
    <row r="2" spans="2:7" ht="15.75">
      <c r="B2" s="6"/>
      <c r="C2" s="6"/>
      <c r="D2" s="6" t="s">
        <v>57</v>
      </c>
      <c r="E2" s="6"/>
      <c r="F2" s="6"/>
      <c r="G2" s="6"/>
    </row>
    <row r="3" spans="2:7" ht="48.75" customHeight="1">
      <c r="B3" s="6"/>
      <c r="C3" s="6"/>
      <c r="D3" s="319" t="str">
        <f>' (смета)'!C5</f>
        <v>"Центр дополнительного образования детей им.В.Волошиной"</v>
      </c>
      <c r="E3" s="319"/>
      <c r="F3" s="319"/>
      <c r="G3" s="319"/>
    </row>
    <row r="4" spans="2:7" ht="15.75">
      <c r="B4" s="6"/>
      <c r="C4" s="6"/>
      <c r="D4" s="125"/>
      <c r="E4" s="6"/>
      <c r="F4" s="6" t="str">
        <f>' (смета)'!F80</f>
        <v> И.П. Чередова</v>
      </c>
      <c r="G4" s="6"/>
    </row>
    <row r="5" spans="2:7" ht="15.75">
      <c r="B5" s="6"/>
      <c r="C5" s="6"/>
      <c r="D5" s="6"/>
      <c r="E5" s="6"/>
      <c r="F5" s="6"/>
      <c r="G5" s="6"/>
    </row>
    <row r="6" spans="2:10" ht="15.75">
      <c r="B6" s="6"/>
      <c r="C6" s="6"/>
      <c r="D6" s="126" t="s">
        <v>221</v>
      </c>
      <c r="E6" s="126"/>
      <c r="F6" s="126"/>
      <c r="G6" s="6"/>
      <c r="H6" s="203"/>
      <c r="I6" s="204"/>
      <c r="J6" s="204"/>
    </row>
    <row r="7" spans="2:7" ht="15.75">
      <c r="B7" s="6"/>
      <c r="C7" s="6"/>
      <c r="D7" s="6"/>
      <c r="E7" s="6"/>
      <c r="F7" s="6"/>
      <c r="G7" s="6"/>
    </row>
    <row r="8" spans="2:7" ht="15.75">
      <c r="B8" s="322" t="s">
        <v>58</v>
      </c>
      <c r="C8" s="322"/>
      <c r="D8" s="322"/>
      <c r="E8" s="6"/>
      <c r="F8" s="6"/>
      <c r="G8" s="6"/>
    </row>
    <row r="9" spans="2:7" ht="15.75">
      <c r="B9" s="323" t="s">
        <v>134</v>
      </c>
      <c r="C9" s="323"/>
      <c r="D9" s="323"/>
      <c r="E9" s="6"/>
      <c r="F9" s="6"/>
      <c r="G9" s="6"/>
    </row>
    <row r="10" spans="2:7" ht="15.75">
      <c r="B10" s="334" t="str">
        <f>' (смета) (6)'!D6</f>
        <v>"Логопед"</v>
      </c>
      <c r="C10" s="323"/>
      <c r="D10" s="323"/>
      <c r="E10" s="6"/>
      <c r="F10" s="6"/>
      <c r="G10" s="6"/>
    </row>
    <row r="11" spans="2:7" ht="15.75">
      <c r="B11" s="89"/>
      <c r="C11" s="175" t="str">
        <f>' (смета) (6)'!B7</f>
        <v>По программе:</v>
      </c>
      <c r="D11" s="175"/>
      <c r="E11" s="6"/>
      <c r="F11" s="6"/>
      <c r="G11" s="6"/>
    </row>
    <row r="12" spans="2:7" ht="36" customHeight="1">
      <c r="B12" s="89"/>
      <c r="C12" s="335" t="str">
        <f>' (смета) (6)'!D7</f>
        <v>Развитие фонематического слуха и формирование звукопроизношения (индивидуальное занятие)</v>
      </c>
      <c r="D12" s="335"/>
      <c r="E12" s="6"/>
      <c r="F12" s="6"/>
      <c r="G12" s="6"/>
    </row>
    <row r="13" spans="2:7" ht="15.75">
      <c r="B13" s="324" t="s">
        <v>232</v>
      </c>
      <c r="C13" s="324"/>
      <c r="D13" s="324"/>
      <c r="E13" s="324"/>
      <c r="F13" s="6"/>
      <c r="G13" s="6"/>
    </row>
    <row r="14" spans="2:5" ht="24.75" customHeight="1">
      <c r="B14" s="127" t="s">
        <v>59</v>
      </c>
      <c r="C14" s="127" t="s">
        <v>60</v>
      </c>
      <c r="D14" s="127" t="s">
        <v>93</v>
      </c>
      <c r="E14" s="205" t="s">
        <v>62</v>
      </c>
    </row>
    <row r="15" spans="2:5" ht="16.5" customHeight="1">
      <c r="B15" s="206">
        <v>1</v>
      </c>
      <c r="C15" s="207" t="s">
        <v>61</v>
      </c>
      <c r="D15" s="128">
        <f>SUM(D16:D25)</f>
        <v>105600</v>
      </c>
      <c r="E15" s="208">
        <f>SUM(E16:E24)</f>
        <v>0</v>
      </c>
    </row>
    <row r="16" spans="2:5" ht="15.75">
      <c r="B16" s="209" t="s">
        <v>63</v>
      </c>
      <c r="C16" s="130" t="s">
        <v>72</v>
      </c>
      <c r="D16" s="27">
        <f>'резерв отпускных (6)'!D15</f>
        <v>71418</v>
      </c>
      <c r="E16" s="210"/>
    </row>
    <row r="17" spans="2:5" ht="15.75">
      <c r="B17" s="209" t="s">
        <v>64</v>
      </c>
      <c r="C17" s="130" t="s">
        <v>73</v>
      </c>
      <c r="D17" s="27">
        <f>'резерв отпускных (6)'!D16</f>
        <v>21568</v>
      </c>
      <c r="E17" s="210"/>
    </row>
    <row r="18" spans="2:5" ht="15.75">
      <c r="B18" s="209" t="s">
        <v>65</v>
      </c>
      <c r="C18" s="130" t="s">
        <v>74</v>
      </c>
      <c r="D18" s="27">
        <f>'резерв отпускных (6)'!D14+1</f>
        <v>12614</v>
      </c>
      <c r="E18" s="210"/>
    </row>
    <row r="19" spans="2:5" ht="15.75" hidden="1">
      <c r="B19" s="209" t="s">
        <v>66</v>
      </c>
      <c r="C19" s="130"/>
      <c r="D19" s="129"/>
      <c r="E19" s="210"/>
    </row>
    <row r="20" spans="2:5" ht="15.75" hidden="1">
      <c r="B20" s="209" t="s">
        <v>67</v>
      </c>
      <c r="C20" s="130"/>
      <c r="D20" s="129"/>
      <c r="E20" s="210"/>
    </row>
    <row r="21" spans="2:5" ht="15.75" hidden="1">
      <c r="B21" s="209" t="s">
        <v>68</v>
      </c>
      <c r="C21" s="130"/>
      <c r="D21" s="129"/>
      <c r="E21" s="210"/>
    </row>
    <row r="22" spans="2:5" ht="15.75" hidden="1">
      <c r="B22" s="209" t="s">
        <v>69</v>
      </c>
      <c r="C22" s="130"/>
      <c r="D22" s="129"/>
      <c r="E22" s="210"/>
    </row>
    <row r="23" spans="2:5" ht="25.5" customHeight="1" hidden="1">
      <c r="B23" s="209" t="s">
        <v>70</v>
      </c>
      <c r="C23" s="130"/>
      <c r="D23" s="130"/>
      <c r="E23" s="210"/>
    </row>
    <row r="24" spans="2:5" ht="15.75" hidden="1">
      <c r="B24" s="209" t="s">
        <v>71</v>
      </c>
      <c r="C24" s="130"/>
      <c r="D24" s="130"/>
      <c r="E24" s="210"/>
    </row>
    <row r="25" spans="2:5" ht="15.75" hidden="1">
      <c r="B25" s="211"/>
      <c r="C25" s="130"/>
      <c r="D25" s="129"/>
      <c r="E25" s="210"/>
    </row>
    <row r="26" spans="2:5" ht="15.75">
      <c r="B26" s="206">
        <v>2</v>
      </c>
      <c r="C26" s="207" t="s">
        <v>75</v>
      </c>
      <c r="D26" s="131">
        <f>D27+D38+D43+D44+D42+D41+D39+D40</f>
        <v>70400</v>
      </c>
      <c r="E26" s="208">
        <f>E27+E38+E41+E42+E43+E44</f>
        <v>0</v>
      </c>
    </row>
    <row r="27" spans="2:5" ht="31.5" hidden="1">
      <c r="B27" s="209" t="s">
        <v>76</v>
      </c>
      <c r="C27" s="212" t="s">
        <v>102</v>
      </c>
      <c r="D27" s="27">
        <f>D28+D37</f>
        <v>0</v>
      </c>
      <c r="E27" s="210">
        <f>E28+E37</f>
        <v>0</v>
      </c>
    </row>
    <row r="28" spans="2:5" ht="15.75" hidden="1">
      <c r="B28" s="209" t="s">
        <v>82</v>
      </c>
      <c r="C28" s="59" t="s">
        <v>72</v>
      </c>
      <c r="D28" s="27">
        <f>SUM(D29:D36)</f>
        <v>0</v>
      </c>
      <c r="E28" s="210">
        <f>SUM(E29:E36)</f>
        <v>0</v>
      </c>
    </row>
    <row r="29" spans="2:5" ht="15.75" hidden="1">
      <c r="B29" s="209"/>
      <c r="C29" s="59" t="s">
        <v>99</v>
      </c>
      <c r="D29" s="27"/>
      <c r="E29" s="210"/>
    </row>
    <row r="30" spans="2:5" ht="15.75" hidden="1">
      <c r="B30" s="209"/>
      <c r="C30" s="59" t="s">
        <v>86</v>
      </c>
      <c r="D30" s="129"/>
      <c r="E30" s="210"/>
    </row>
    <row r="31" spans="2:5" ht="15.75" hidden="1">
      <c r="B31" s="209"/>
      <c r="C31" s="59" t="s">
        <v>84</v>
      </c>
      <c r="D31" s="129"/>
      <c r="E31" s="210"/>
    </row>
    <row r="32" spans="2:5" ht="15.75" hidden="1">
      <c r="B32" s="209"/>
      <c r="C32" s="59" t="s">
        <v>85</v>
      </c>
      <c r="D32" s="129"/>
      <c r="E32" s="210"/>
    </row>
    <row r="33" spans="2:5" ht="15.75" hidden="1">
      <c r="B33" s="209"/>
      <c r="C33" s="59" t="s">
        <v>100</v>
      </c>
      <c r="D33" s="27">
        <f>+' (смета)'!G55/1.271</f>
        <v>0</v>
      </c>
      <c r="E33" s="210"/>
    </row>
    <row r="34" spans="2:5" ht="15.75" hidden="1">
      <c r="B34" s="209"/>
      <c r="C34" s="59" t="s">
        <v>87</v>
      </c>
      <c r="D34" s="129"/>
      <c r="E34" s="210"/>
    </row>
    <row r="35" spans="2:5" ht="15.75" hidden="1">
      <c r="B35" s="209"/>
      <c r="C35" s="59" t="s">
        <v>88</v>
      </c>
      <c r="D35" s="129"/>
      <c r="E35" s="210"/>
    </row>
    <row r="36" spans="2:5" ht="15.75" hidden="1">
      <c r="B36" s="209"/>
      <c r="C36" s="59" t="s">
        <v>89</v>
      </c>
      <c r="D36" s="129"/>
      <c r="E36" s="210"/>
    </row>
    <row r="37" spans="2:5" ht="15.75" hidden="1">
      <c r="B37" s="209" t="s">
        <v>83</v>
      </c>
      <c r="C37" s="59" t="s">
        <v>73</v>
      </c>
      <c r="D37" s="27">
        <f>D28*27.1%</f>
        <v>0</v>
      </c>
      <c r="E37" s="210">
        <f>E28*26.2%</f>
        <v>0</v>
      </c>
    </row>
    <row r="38" spans="2:5" ht="15.75">
      <c r="B38" s="209" t="s">
        <v>77</v>
      </c>
      <c r="C38" s="130" t="s">
        <v>90</v>
      </c>
      <c r="D38" s="27">
        <f>' (смета) (6)'!G28</f>
        <v>17600</v>
      </c>
      <c r="E38" s="210"/>
    </row>
    <row r="39" spans="2:5" ht="31.5" customHeight="1">
      <c r="B39" s="213" t="s">
        <v>78</v>
      </c>
      <c r="C39" s="214" t="s">
        <v>104</v>
      </c>
      <c r="D39" s="27">
        <f>' (смета) (6)'!G48</f>
        <v>8800</v>
      </c>
      <c r="E39" s="210"/>
    </row>
    <row r="40" spans="2:5" ht="16.5" customHeight="1">
      <c r="B40" s="213" t="s">
        <v>79</v>
      </c>
      <c r="C40" s="214" t="s">
        <v>135</v>
      </c>
      <c r="D40" s="27">
        <f>' (смета) (6)'!G49</f>
        <v>2287</v>
      </c>
      <c r="E40" s="210"/>
    </row>
    <row r="41" spans="2:5" ht="15.75">
      <c r="B41" s="209" t="s">
        <v>80</v>
      </c>
      <c r="C41" s="130" t="s">
        <v>97</v>
      </c>
      <c r="D41" s="27">
        <f>' (смета) (6)'!G70</f>
        <v>0</v>
      </c>
      <c r="E41" s="210"/>
    </row>
    <row r="42" spans="2:5" ht="15.75">
      <c r="B42" s="209" t="s">
        <v>81</v>
      </c>
      <c r="C42" s="39" t="s">
        <v>136</v>
      </c>
      <c r="D42" s="132">
        <f>+' (смета) (6)'!G71</f>
        <v>0</v>
      </c>
      <c r="E42" s="37"/>
    </row>
    <row r="43" spans="2:5" ht="15.75">
      <c r="B43" s="209" t="s">
        <v>95</v>
      </c>
      <c r="C43" s="130" t="s">
        <v>137</v>
      </c>
      <c r="D43" s="129">
        <f>' (смета) (6)'!G59</f>
        <v>41713</v>
      </c>
      <c r="E43" s="210"/>
    </row>
    <row r="44" spans="2:5" ht="15.75">
      <c r="B44" s="209" t="s">
        <v>109</v>
      </c>
      <c r="C44" s="212" t="s">
        <v>138</v>
      </c>
      <c r="D44" s="129">
        <f>' (смета) (6)'!G72</f>
        <v>0</v>
      </c>
      <c r="E44" s="210"/>
    </row>
    <row r="45" spans="2:5" ht="18.75" customHeight="1">
      <c r="B45" s="206">
        <v>3</v>
      </c>
      <c r="C45" s="207" t="s">
        <v>91</v>
      </c>
      <c r="D45" s="131">
        <f>D15+D26</f>
        <v>176000</v>
      </c>
      <c r="E45" s="208">
        <f>E15+E26</f>
        <v>0</v>
      </c>
    </row>
    <row r="46" spans="2:5" ht="15.75">
      <c r="B46" s="211"/>
      <c r="C46" s="130"/>
      <c r="D46" s="129"/>
      <c r="E46" s="210"/>
    </row>
    <row r="47" spans="2:5" ht="15.75">
      <c r="B47" s="211">
        <v>4</v>
      </c>
      <c r="C47" s="130" t="s">
        <v>92</v>
      </c>
      <c r="D47" s="27">
        <f>' (смета) (6)'!E8</f>
        <v>4</v>
      </c>
      <c r="E47" s="210"/>
    </row>
    <row r="48" spans="2:5" ht="15.75">
      <c r="B48" s="211">
        <v>5</v>
      </c>
      <c r="C48" s="130" t="s">
        <v>139</v>
      </c>
      <c r="D48" s="27">
        <f>' (смета) (6)'!E12</f>
        <v>80</v>
      </c>
      <c r="E48" s="210"/>
    </row>
    <row r="49" spans="2:5" ht="15.75">
      <c r="B49" s="206">
        <v>6</v>
      </c>
      <c r="C49" s="207" t="s">
        <v>140</v>
      </c>
      <c r="D49" s="131">
        <f>D45/D47/D48</f>
        <v>550</v>
      </c>
      <c r="E49" s="208"/>
    </row>
    <row r="50" spans="2:4" ht="15.75">
      <c r="B50" s="6"/>
      <c r="C50" s="6"/>
      <c r="D50" s="6"/>
    </row>
    <row r="51" spans="2:8" ht="15.75">
      <c r="B51" s="6" t="s">
        <v>151</v>
      </c>
      <c r="C51" s="7" t="str">
        <f>' (смета) (6)'!F77</f>
        <v>А.Р. Саттарова</v>
      </c>
      <c r="D51" s="6"/>
      <c r="E51" s="125"/>
      <c r="F51" s="18"/>
      <c r="G51" s="320"/>
      <c r="H51" s="320"/>
    </row>
    <row r="52" spans="2:8" ht="15.75">
      <c r="B52" s="6"/>
      <c r="C52" s="6"/>
      <c r="D52" s="6"/>
      <c r="E52" s="6"/>
      <c r="F52" s="6"/>
      <c r="G52" s="7"/>
      <c r="H52" s="7"/>
    </row>
    <row r="53" spans="2:8" ht="15.75">
      <c r="B53" s="6"/>
      <c r="C53" s="6"/>
      <c r="D53" s="6"/>
      <c r="E53" s="125"/>
      <c r="F53" s="18"/>
      <c r="G53" s="321"/>
      <c r="H53" s="321"/>
    </row>
  </sheetData>
  <sheetProtection/>
  <mergeCells count="8">
    <mergeCell ref="G53:H53"/>
    <mergeCell ref="D3:G3"/>
    <mergeCell ref="B8:D8"/>
    <mergeCell ref="B9:D9"/>
    <mergeCell ref="B10:D10"/>
    <mergeCell ref="B13:E13"/>
    <mergeCell ref="G51:H51"/>
    <mergeCell ref="C12:D12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21"/>
  <sheetViews>
    <sheetView view="pageBreakPreview" zoomScale="90" zoomScaleSheetLayoutView="90" zoomScalePageLayoutView="0" workbookViewId="0" topLeftCell="A1">
      <selection activeCell="D12" sqref="D12"/>
    </sheetView>
  </sheetViews>
  <sheetFormatPr defaultColWidth="9.00390625" defaultRowHeight="12.75"/>
  <cols>
    <col min="1" max="1" width="2.375" style="6" customWidth="1"/>
    <col min="2" max="2" width="7.875" style="6" customWidth="1"/>
    <col min="3" max="3" width="53.75390625" style="6" customWidth="1"/>
    <col min="4" max="4" width="17.875" style="6" customWidth="1"/>
    <col min="5" max="5" width="22.25390625" style="6" customWidth="1"/>
    <col min="6" max="7" width="9.125" style="6" customWidth="1"/>
    <col min="8" max="8" width="9.375" style="6" customWidth="1"/>
    <col min="9" max="16384" width="9.125" style="6" customWidth="1"/>
  </cols>
  <sheetData>
    <row r="1" ht="15.75"/>
    <row r="2" spans="2:5" ht="15.75">
      <c r="B2" s="316" t="str">
        <f>' (смета) (6)'!C4</f>
        <v>Муниципальное бюджетное образовательное учреждение  дополнительного образования        </v>
      </c>
      <c r="C2" s="316"/>
      <c r="D2" s="316"/>
      <c r="E2" s="134"/>
    </row>
    <row r="3" spans="2:5" ht="15.75">
      <c r="B3" s="317" t="str">
        <f>' (смета) (6)'!C5</f>
        <v>"Центр дополнительного образования детей им.В.Волошиной"</v>
      </c>
      <c r="C3" s="317"/>
      <c r="D3" s="317"/>
      <c r="E3" s="134"/>
    </row>
    <row r="4" ht="15.75">
      <c r="C4" s="173"/>
    </row>
    <row r="5" spans="2:5" ht="15.75">
      <c r="B5" s="318" t="s">
        <v>152</v>
      </c>
      <c r="C5" s="318"/>
      <c r="D5" s="318"/>
      <c r="E5" s="200"/>
    </row>
    <row r="6" spans="2:5" ht="15.75">
      <c r="B6" s="200"/>
      <c r="C6" s="200" t="str">
        <f>'калькуляция (6)'!B13</f>
        <v>                 на  2023-2024 учебный год  (сентябрь -июнь)</v>
      </c>
      <c r="D6" s="200"/>
      <c r="E6" s="200"/>
    </row>
    <row r="7" spans="2:5" ht="15.75" customHeight="1">
      <c r="B7" s="271"/>
      <c r="C7" s="271" t="str">
        <f>' (смета) (6)'!D6</f>
        <v>"Логопед"</v>
      </c>
      <c r="D7" s="271"/>
      <c r="E7" s="134"/>
    </row>
    <row r="8" spans="2:5" s="5" customFormat="1" ht="15.75">
      <c r="B8" s="287"/>
      <c r="C8" s="287" t="str">
        <f>' (смета) (6)'!B7</f>
        <v>По программе:</v>
      </c>
      <c r="D8" s="287"/>
      <c r="E8" s="222"/>
    </row>
    <row r="9" spans="2:5" s="5" customFormat="1" ht="47.25">
      <c r="B9" s="287"/>
      <c r="C9" s="287" t="str">
        <f>' (смета) (6)'!D7</f>
        <v>Развитие фонематического слуха и формирование звукопроизношения (индивидуальное занятие)</v>
      </c>
      <c r="D9" s="287"/>
      <c r="E9" s="222"/>
    </row>
    <row r="10" spans="2:7" ht="33" customHeight="1">
      <c r="B10" s="215" t="s">
        <v>110</v>
      </c>
      <c r="C10" s="127" t="s">
        <v>111</v>
      </c>
      <c r="D10" s="127" t="s">
        <v>112</v>
      </c>
      <c r="E10" s="135"/>
      <c r="F10" s="175" t="s">
        <v>146</v>
      </c>
      <c r="G10" s="175" t="s">
        <v>147</v>
      </c>
    </row>
    <row r="11" spans="2:7" ht="23.25" customHeight="1">
      <c r="B11" s="127">
        <v>1</v>
      </c>
      <c r="C11" s="216" t="s">
        <v>113</v>
      </c>
      <c r="D11" s="217">
        <f>(' (смета) (6)'!G22/9)/29.3*F11</f>
        <v>9688.55</v>
      </c>
      <c r="E11" s="133"/>
      <c r="F11" s="218">
        <f>42/12*9</f>
        <v>31.5</v>
      </c>
      <c r="G11" s="218">
        <f>F11/9</f>
        <v>3.5</v>
      </c>
    </row>
    <row r="12" spans="2:5" ht="33" customHeight="1">
      <c r="B12" s="127">
        <v>2</v>
      </c>
      <c r="C12" s="219" t="s">
        <v>116</v>
      </c>
      <c r="D12" s="136">
        <f>D11*30.2%-1</f>
        <v>2924.94</v>
      </c>
      <c r="E12" s="137"/>
    </row>
    <row r="13" spans="2:5" ht="33" customHeight="1" hidden="1">
      <c r="B13" s="127">
        <v>3</v>
      </c>
      <c r="C13" s="219" t="s">
        <v>117</v>
      </c>
      <c r="D13" s="136"/>
      <c r="E13" s="137"/>
    </row>
    <row r="14" spans="2:5" ht="54" customHeight="1">
      <c r="B14" s="127">
        <v>3</v>
      </c>
      <c r="C14" s="219" t="s">
        <v>118</v>
      </c>
      <c r="D14" s="136">
        <f>D11+D12-D13</f>
        <v>12613.49</v>
      </c>
      <c r="E14" s="137"/>
    </row>
    <row r="15" spans="2:5" ht="33" customHeight="1">
      <c r="B15" s="127">
        <v>4</v>
      </c>
      <c r="C15" s="219" t="s">
        <v>114</v>
      </c>
      <c r="D15" s="141">
        <f>' (смета) (6)'!G22-D11</f>
        <v>71418.45</v>
      </c>
      <c r="E15" s="133"/>
    </row>
    <row r="16" spans="2:5" ht="33" customHeight="1">
      <c r="B16" s="127">
        <v>5</v>
      </c>
      <c r="C16" s="219" t="s">
        <v>119</v>
      </c>
      <c r="D16" s="136">
        <f>D15*30.2%</f>
        <v>21568.37</v>
      </c>
      <c r="E16" s="137"/>
    </row>
    <row r="17" spans="2:5" ht="33" customHeight="1">
      <c r="B17" s="127">
        <v>6</v>
      </c>
      <c r="C17" s="219" t="s">
        <v>120</v>
      </c>
      <c r="D17" s="136">
        <f>D15+D16</f>
        <v>92986.82</v>
      </c>
      <c r="E17" s="137"/>
    </row>
    <row r="18" spans="2:5" ht="33" customHeight="1">
      <c r="B18" s="127">
        <v>7</v>
      </c>
      <c r="C18" s="219" t="s">
        <v>121</v>
      </c>
      <c r="D18" s="220">
        <f>D14/D17</f>
        <v>0.1356</v>
      </c>
      <c r="E18" s="138"/>
    </row>
    <row r="19" spans="2:5" ht="49.5" customHeight="1">
      <c r="B19" s="127">
        <v>8</v>
      </c>
      <c r="C19" s="219" t="s">
        <v>122</v>
      </c>
      <c r="D19" s="139" t="s">
        <v>115</v>
      </c>
      <c r="E19" s="140"/>
    </row>
    <row r="21" spans="2:4" ht="15.75">
      <c r="B21" s="6" t="s">
        <v>217</v>
      </c>
      <c r="D21" s="7" t="str">
        <f>'калькуляция (6)'!C51</f>
        <v>А.Р. Саттарова</v>
      </c>
    </row>
  </sheetData>
  <sheetProtection/>
  <mergeCells count="3"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0"/>
  <sheetViews>
    <sheetView view="pageBreakPreview" zoomScale="90" zoomScaleSheetLayoutView="90" zoomScalePageLayoutView="0" workbookViewId="0" topLeftCell="A1">
      <selection activeCell="D10" sqref="D10:D15"/>
    </sheetView>
  </sheetViews>
  <sheetFormatPr defaultColWidth="9.00390625" defaultRowHeight="12.75"/>
  <cols>
    <col min="1" max="1" width="2.375" style="6" customWidth="1"/>
    <col min="2" max="2" width="7.875" style="6" customWidth="1"/>
    <col min="3" max="3" width="56.75390625" style="6" customWidth="1"/>
    <col min="4" max="4" width="20.375" style="6" customWidth="1"/>
    <col min="5" max="5" width="4.625" style="6" customWidth="1"/>
    <col min="6" max="6" width="15.00390625" style="6" bestFit="1" customWidth="1"/>
    <col min="7" max="7" width="9.125" style="6" customWidth="1"/>
    <col min="8" max="8" width="9.375" style="6" customWidth="1"/>
    <col min="9" max="16384" width="9.125" style="6" customWidth="1"/>
  </cols>
  <sheetData>
    <row r="1" ht="15.75"/>
    <row r="2" spans="2:5" ht="35.25" customHeight="1">
      <c r="B2" s="316" t="str">
        <f>' (смета)'!C4</f>
        <v>Муниципальное бюджетное образовательное учреждение  дополнительного образования        </v>
      </c>
      <c r="C2" s="316"/>
      <c r="D2" s="316"/>
      <c r="E2" s="134"/>
    </row>
    <row r="3" spans="2:5" ht="15.75">
      <c r="B3" s="317" t="str">
        <f>' (смета)'!C5</f>
        <v>"Центр дополнительного образования детей им.В.Волошиной"</v>
      </c>
      <c r="C3" s="317"/>
      <c r="D3" s="317"/>
      <c r="E3" s="134"/>
    </row>
    <row r="4" ht="15.75">
      <c r="C4" s="173"/>
    </row>
    <row r="5" spans="2:5" ht="15.75">
      <c r="B5" s="318" t="s">
        <v>152</v>
      </c>
      <c r="C5" s="318"/>
      <c r="D5" s="318"/>
      <c r="E5" s="200"/>
    </row>
    <row r="6" spans="2:5" ht="15" customHeight="1">
      <c r="B6" s="200"/>
      <c r="C6" s="200" t="str">
        <f>' (смета)'!B3</f>
        <v>                 на  2023-2024 учебный год  (сентябрь -май)</v>
      </c>
      <c r="D6" s="200"/>
      <c r="E6" s="200"/>
    </row>
    <row r="7" spans="2:5" ht="23.25" customHeight="1">
      <c r="B7" s="273"/>
      <c r="C7" s="274" t="str">
        <f>калькуляция!C10</f>
        <v>"Весёлый карандаш 6-8 лет"</v>
      </c>
      <c r="D7" s="275"/>
      <c r="E7" s="134"/>
    </row>
    <row r="8" spans="2:5" s="5" customFormat="1" ht="15.75">
      <c r="B8" s="126" t="s">
        <v>197</v>
      </c>
      <c r="C8" s="221"/>
      <c r="D8" s="221"/>
      <c r="E8" s="222"/>
    </row>
    <row r="9" spans="2:7" ht="33" customHeight="1">
      <c r="B9" s="215" t="s">
        <v>110</v>
      </c>
      <c r="C9" s="127" t="s">
        <v>111</v>
      </c>
      <c r="D9" s="127" t="s">
        <v>112</v>
      </c>
      <c r="E9" s="135"/>
      <c r="F9" s="175" t="s">
        <v>146</v>
      </c>
      <c r="G9" s="175" t="s">
        <v>147</v>
      </c>
    </row>
    <row r="10" spans="2:7" ht="23.25" customHeight="1">
      <c r="B10" s="127">
        <v>1</v>
      </c>
      <c r="C10" s="216" t="s">
        <v>113</v>
      </c>
      <c r="D10" s="217">
        <f>(' (смета)'!G26/9)/29.3*F10</f>
        <v>4161.66</v>
      </c>
      <c r="E10" s="133"/>
      <c r="F10" s="218">
        <f>42/12*9</f>
        <v>31.5</v>
      </c>
      <c r="G10" s="218">
        <f>F10/9</f>
        <v>3.5</v>
      </c>
    </row>
    <row r="11" spans="2:5" ht="33" customHeight="1">
      <c r="B11" s="127">
        <v>2</v>
      </c>
      <c r="C11" s="219" t="s">
        <v>116</v>
      </c>
      <c r="D11" s="136">
        <f>D10*30.2%</f>
        <v>1256.82</v>
      </c>
      <c r="E11" s="137"/>
    </row>
    <row r="12" spans="2:5" ht="33" customHeight="1" hidden="1">
      <c r="B12" s="127">
        <v>3</v>
      </c>
      <c r="C12" s="219" t="s">
        <v>117</v>
      </c>
      <c r="D12" s="136"/>
      <c r="E12" s="137"/>
    </row>
    <row r="13" spans="2:5" ht="54" customHeight="1">
      <c r="B13" s="127">
        <v>3</v>
      </c>
      <c r="C13" s="219" t="s">
        <v>118</v>
      </c>
      <c r="D13" s="136">
        <f>D10+D11-D12</f>
        <v>5418.48</v>
      </c>
      <c r="E13" s="137"/>
    </row>
    <row r="14" spans="2:5" ht="33" customHeight="1">
      <c r="B14" s="127">
        <v>4</v>
      </c>
      <c r="C14" s="219" t="s">
        <v>114</v>
      </c>
      <c r="D14" s="141">
        <f>' (смета)'!G26-D10</f>
        <v>30677.34</v>
      </c>
      <c r="E14" s="133"/>
    </row>
    <row r="15" spans="2:5" ht="33" customHeight="1">
      <c r="B15" s="127">
        <v>5</v>
      </c>
      <c r="C15" s="219" t="s">
        <v>119</v>
      </c>
      <c r="D15" s="136">
        <f>D14*30.2%</f>
        <v>9264.56</v>
      </c>
      <c r="E15" s="137"/>
    </row>
    <row r="16" spans="2:5" ht="33" customHeight="1">
      <c r="B16" s="127">
        <v>6</v>
      </c>
      <c r="C16" s="219" t="s">
        <v>120</v>
      </c>
      <c r="D16" s="136">
        <f>D14+D15</f>
        <v>39941.9</v>
      </c>
      <c r="E16" s="137"/>
    </row>
    <row r="17" spans="2:6" ht="33" customHeight="1">
      <c r="B17" s="127">
        <v>7</v>
      </c>
      <c r="C17" s="219" t="s">
        <v>121</v>
      </c>
      <c r="D17" s="220">
        <f>D13/D16</f>
        <v>0.1357</v>
      </c>
      <c r="E17" s="138"/>
      <c r="F17" s="292"/>
    </row>
    <row r="18" spans="2:5" ht="49.5" customHeight="1">
      <c r="B18" s="127">
        <v>8</v>
      </c>
      <c r="C18" s="219" t="s">
        <v>122</v>
      </c>
      <c r="D18" s="139" t="s">
        <v>115</v>
      </c>
      <c r="E18" s="140"/>
    </row>
    <row r="20" spans="2:4" ht="15.75">
      <c r="B20" s="6" t="s">
        <v>216</v>
      </c>
      <c r="D20" s="7" t="str">
        <f>' (смета)'!F81</f>
        <v>А.Р. Саттарова</v>
      </c>
    </row>
  </sheetData>
  <sheetProtection/>
  <mergeCells count="3"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scale="97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Zeros="0" view="pageBreakPreview" zoomScale="80" zoomScaleNormal="80" zoomScaleSheetLayoutView="80" zoomScalePageLayoutView="0" workbookViewId="0" topLeftCell="A1">
      <selection activeCell="C25" sqref="C25"/>
    </sheetView>
  </sheetViews>
  <sheetFormatPr defaultColWidth="9.00390625" defaultRowHeight="12.75" customHeight="1"/>
  <cols>
    <col min="1" max="1" width="0.74609375" style="88" customWidth="1"/>
    <col min="2" max="2" width="13.75390625" style="88" customWidth="1"/>
    <col min="3" max="3" width="11.00390625" style="88" customWidth="1"/>
    <col min="4" max="4" width="25.875" style="88" customWidth="1"/>
    <col min="5" max="5" width="11.375" style="88" customWidth="1"/>
    <col min="6" max="6" width="13.875" style="88" customWidth="1"/>
    <col min="7" max="7" width="13.625" style="91" customWidth="1"/>
    <col min="8" max="8" width="12.25390625" style="91" customWidth="1"/>
    <col min="9" max="9" width="12.625" style="91" customWidth="1"/>
    <col min="10" max="10" width="11.625" style="91" customWidth="1"/>
    <col min="11" max="11" width="12.375" style="91" customWidth="1"/>
    <col min="12" max="12" width="11.00390625" style="88" hidden="1" customWidth="1"/>
    <col min="13" max="13" width="11.00390625" style="8" hidden="1" customWidth="1"/>
    <col min="14" max="14" width="12.875" style="175" customWidth="1"/>
    <col min="15" max="15" width="9.125" style="6" customWidth="1"/>
    <col min="16" max="16" width="11.875" style="88" customWidth="1"/>
    <col min="17" max="17" width="10.875" style="88" customWidth="1"/>
    <col min="18" max="18" width="10.75390625" style="88" customWidth="1"/>
    <col min="19" max="19" width="12.25390625" style="88" customWidth="1"/>
    <col min="20" max="20" width="17.375" style="88" customWidth="1"/>
    <col min="21" max="16384" width="9.125" style="88" customWidth="1"/>
  </cols>
  <sheetData>
    <row r="1" spans="7:14" s="6" customFormat="1" ht="12.75" customHeight="1">
      <c r="G1" s="7"/>
      <c r="H1" s="7"/>
      <c r="I1" s="7"/>
      <c r="J1" s="7"/>
      <c r="K1" s="7"/>
      <c r="M1" s="8"/>
      <c r="N1" s="175"/>
    </row>
    <row r="2" spans="2:15" s="9" customFormat="1" ht="19.5" customHeight="1">
      <c r="B2" s="310" t="s">
        <v>103</v>
      </c>
      <c r="C2" s="310"/>
      <c r="D2" s="310"/>
      <c r="E2" s="310"/>
      <c r="F2" s="310"/>
      <c r="G2" s="310"/>
      <c r="H2" s="310"/>
      <c r="I2" s="310"/>
      <c r="J2" s="310"/>
      <c r="K2" s="310"/>
      <c r="M2" s="8"/>
      <c r="N2" s="175"/>
      <c r="O2" s="6"/>
    </row>
    <row r="3" spans="2:20" s="9" customFormat="1" ht="19.5" customHeight="1">
      <c r="B3" s="310" t="s">
        <v>213</v>
      </c>
      <c r="C3" s="310"/>
      <c r="D3" s="310"/>
      <c r="E3" s="310"/>
      <c r="F3" s="310"/>
      <c r="G3" s="310"/>
      <c r="H3" s="310"/>
      <c r="I3" s="310"/>
      <c r="J3" s="310"/>
      <c r="K3" s="310"/>
      <c r="M3" s="8"/>
      <c r="N3" s="175"/>
      <c r="O3" s="6"/>
      <c r="P3" s="305" t="s">
        <v>148</v>
      </c>
      <c r="Q3" s="306"/>
      <c r="R3" s="306"/>
      <c r="S3" s="307"/>
      <c r="T3" s="195" t="s">
        <v>72</v>
      </c>
    </row>
    <row r="4" spans="2:20" s="6" customFormat="1" ht="16.5" customHeight="1">
      <c r="B4" s="224" t="s">
        <v>155</v>
      </c>
      <c r="C4" s="223" t="s">
        <v>153</v>
      </c>
      <c r="D4" s="10"/>
      <c r="G4" s="11"/>
      <c r="H4" s="7"/>
      <c r="I4" s="12"/>
      <c r="J4" s="12"/>
      <c r="K4" s="7"/>
      <c r="M4" s="8"/>
      <c r="N4" s="175"/>
      <c r="P4" s="192">
        <f>G19</f>
        <v>1446800</v>
      </c>
      <c r="Q4" s="193">
        <f>H19+I19+J19+K19</f>
        <v>1446800</v>
      </c>
      <c r="R4" s="193">
        <f>G20+G25+G57</f>
        <v>1446800</v>
      </c>
      <c r="S4" s="194">
        <f>'калькуляция (6)'!D45</f>
        <v>176000</v>
      </c>
      <c r="T4" s="196">
        <f>'резерв отпускных (6)'!D11+'резерв отпускных (6)'!D12+'резерв отпускных (6)'!D15+'резерв отпускных (6)'!D16</f>
        <v>105600</v>
      </c>
    </row>
    <row r="5" spans="3:14" s="6" customFormat="1" ht="12.75" customHeight="1">
      <c r="C5" s="223" t="s">
        <v>154</v>
      </c>
      <c r="G5" s="7"/>
      <c r="H5" s="7"/>
      <c r="I5" s="7"/>
      <c r="J5" s="7"/>
      <c r="K5" s="7"/>
      <c r="M5" s="8"/>
      <c r="N5" s="175"/>
    </row>
    <row r="6" spans="2:20" s="5" customFormat="1" ht="18" customHeight="1">
      <c r="B6" s="273" t="s">
        <v>192</v>
      </c>
      <c r="C6" s="272"/>
      <c r="D6" s="272"/>
      <c r="E6" s="272"/>
      <c r="F6" s="272"/>
      <c r="G6" s="272"/>
      <c r="H6" s="272"/>
      <c r="I6" s="272"/>
      <c r="J6" s="272"/>
      <c r="K6" s="272"/>
      <c r="M6" s="14"/>
      <c r="N6" s="176"/>
      <c r="P6" s="199">
        <f>E15-P4</f>
        <v>-1446800</v>
      </c>
      <c r="Q6" s="199">
        <f>E15-Q4</f>
        <v>-1446800</v>
      </c>
      <c r="R6" s="199">
        <f>E15-R4</f>
        <v>-1446800</v>
      </c>
      <c r="S6" s="199">
        <f>E15-S4</f>
        <v>-176000</v>
      </c>
      <c r="T6" s="199">
        <f>G20-T4</f>
        <v>762480</v>
      </c>
    </row>
    <row r="7" spans="2:14" s="6" customFormat="1" ht="18" customHeight="1">
      <c r="B7" s="277" t="s">
        <v>193</v>
      </c>
      <c r="C7" s="278"/>
      <c r="D7" s="278"/>
      <c r="F7" s="6" t="s">
        <v>219</v>
      </c>
      <c r="G7" s="13"/>
      <c r="H7" s="7"/>
      <c r="I7" s="7"/>
      <c r="J7" s="7"/>
      <c r="K7" s="7"/>
      <c r="M7" s="8"/>
      <c r="N7" s="175"/>
    </row>
    <row r="8" spans="2:15" s="6" customFormat="1" ht="27" customHeight="1">
      <c r="B8" s="6" t="s">
        <v>41</v>
      </c>
      <c r="E8" s="173"/>
      <c r="F8" s="15"/>
      <c r="G8" s="7"/>
      <c r="H8" s="7"/>
      <c r="I8" s="7"/>
      <c r="J8" s="7"/>
      <c r="K8" s="7"/>
      <c r="M8" s="8"/>
      <c r="N8" s="175"/>
      <c r="O8" s="202" t="s">
        <v>190</v>
      </c>
    </row>
    <row r="9" spans="2:15" s="6" customFormat="1" ht="18" customHeight="1">
      <c r="B9" s="6" t="s">
        <v>202</v>
      </c>
      <c r="E9" s="173"/>
      <c r="F9" s="15"/>
      <c r="G9" s="7"/>
      <c r="H9" s="7"/>
      <c r="I9" s="7"/>
      <c r="J9" s="7"/>
      <c r="K9" s="7"/>
      <c r="M9" s="8"/>
      <c r="N9" s="177"/>
      <c r="O9" s="16"/>
    </row>
    <row r="10" spans="2:14" s="6" customFormat="1" ht="18" customHeight="1">
      <c r="B10" s="6" t="s">
        <v>42</v>
      </c>
      <c r="E10" s="173"/>
      <c r="F10" s="15"/>
      <c r="G10" s="17"/>
      <c r="H10" s="7"/>
      <c r="I10" s="7"/>
      <c r="J10" s="7"/>
      <c r="K10" s="7"/>
      <c r="M10" s="8"/>
      <c r="N10" s="175"/>
    </row>
    <row r="11" spans="2:14" s="6" customFormat="1" ht="18" customHeight="1">
      <c r="B11" s="6" t="s">
        <v>45</v>
      </c>
      <c r="E11" s="172"/>
      <c r="F11" s="15"/>
      <c r="G11" s="7"/>
      <c r="H11" s="7"/>
      <c r="I11" s="7"/>
      <c r="J11" s="7"/>
      <c r="K11" s="7"/>
      <c r="M11" s="8"/>
      <c r="N11" s="175"/>
    </row>
    <row r="12" spans="2:14" s="6" customFormat="1" ht="18" customHeight="1">
      <c r="B12" s="6" t="s">
        <v>94</v>
      </c>
      <c r="E12" s="173"/>
      <c r="G12" s="27">
        <f>H12+I12+J12+K12</f>
        <v>36</v>
      </c>
      <c r="H12" s="27">
        <v>4</v>
      </c>
      <c r="I12" s="27">
        <v>12</v>
      </c>
      <c r="J12" s="27">
        <v>12</v>
      </c>
      <c r="K12" s="27">
        <v>8</v>
      </c>
      <c r="M12" s="8"/>
      <c r="N12" s="175"/>
    </row>
    <row r="13" spans="2:14" s="6" customFormat="1" ht="18" customHeight="1">
      <c r="B13" s="6" t="s">
        <v>130</v>
      </c>
      <c r="E13" s="173"/>
      <c r="F13" s="15"/>
      <c r="G13" s="89"/>
      <c r="H13" s="89"/>
      <c r="I13" s="89"/>
      <c r="J13" s="89"/>
      <c r="K13" s="89"/>
      <c r="M13" s="8"/>
      <c r="N13" s="175"/>
    </row>
    <row r="14" spans="2:14" s="6" customFormat="1" ht="21" customHeight="1">
      <c r="B14" s="6" t="s">
        <v>46</v>
      </c>
      <c r="E14" s="173"/>
      <c r="F14" s="6" t="s">
        <v>149</v>
      </c>
      <c r="G14" s="89"/>
      <c r="H14" s="89"/>
      <c r="I14" s="89"/>
      <c r="J14" s="89"/>
      <c r="K14" s="89"/>
      <c r="M14" s="8"/>
      <c r="N14" s="175"/>
    </row>
    <row r="15" spans="1:14" s="6" customFormat="1" ht="18" customHeight="1">
      <c r="A15" s="18"/>
      <c r="B15" s="18" t="s">
        <v>47</v>
      </c>
      <c r="C15" s="19"/>
      <c r="D15" s="19"/>
      <c r="E15" s="174"/>
      <c r="F15" s="19"/>
      <c r="G15" s="89"/>
      <c r="H15" s="89"/>
      <c r="I15" s="89"/>
      <c r="J15" s="89"/>
      <c r="K15" s="89"/>
      <c r="L15" s="6" t="s">
        <v>1</v>
      </c>
      <c r="M15" s="8"/>
      <c r="N15" s="175"/>
    </row>
    <row r="16" spans="1:14" s="6" customFormat="1" ht="18" customHeight="1">
      <c r="A16" s="18"/>
      <c r="B16" s="18"/>
      <c r="C16" s="19"/>
      <c r="D16" s="19"/>
      <c r="E16" s="20"/>
      <c r="F16" s="19"/>
      <c r="G16" s="89"/>
      <c r="H16" s="89"/>
      <c r="I16" s="89"/>
      <c r="J16" s="89"/>
      <c r="K16" s="89"/>
      <c r="M16" s="8"/>
      <c r="N16" s="175"/>
    </row>
    <row r="17" spans="1:23" s="6" customFormat="1" ht="18" customHeight="1">
      <c r="A17" s="18"/>
      <c r="B17" s="21" t="s">
        <v>29</v>
      </c>
      <c r="C17" s="22"/>
      <c r="D17" s="22"/>
      <c r="E17" s="22"/>
      <c r="F17" s="22"/>
      <c r="G17" s="148"/>
      <c r="H17" s="312">
        <v>2022</v>
      </c>
      <c r="I17" s="313"/>
      <c r="J17" s="314">
        <v>2023</v>
      </c>
      <c r="K17" s="315"/>
      <c r="L17" s="23" t="s">
        <v>39</v>
      </c>
      <c r="M17" s="8"/>
      <c r="N17" s="311" t="s">
        <v>145</v>
      </c>
      <c r="P17" s="24"/>
      <c r="Q17" s="25"/>
      <c r="R17" s="4"/>
      <c r="S17" s="4"/>
      <c r="T17" s="25"/>
      <c r="U17" s="25"/>
      <c r="V17" s="25"/>
      <c r="W17" s="25"/>
    </row>
    <row r="18" spans="1:14" s="6" customFormat="1" ht="18" customHeight="1">
      <c r="A18" s="18"/>
      <c r="B18" s="26"/>
      <c r="C18" s="116" t="s">
        <v>43</v>
      </c>
      <c r="D18" s="18"/>
      <c r="E18" s="18"/>
      <c r="F18" s="18"/>
      <c r="G18" s="149"/>
      <c r="H18" s="27" t="s">
        <v>32</v>
      </c>
      <c r="I18" s="27" t="s">
        <v>33</v>
      </c>
      <c r="J18" s="27" t="s">
        <v>30</v>
      </c>
      <c r="K18" s="27" t="s">
        <v>31</v>
      </c>
      <c r="L18" s="28" t="s">
        <v>40</v>
      </c>
      <c r="M18" s="8"/>
      <c r="N18" s="311"/>
    </row>
    <row r="19" spans="2:23" s="25" customFormat="1" ht="30" customHeight="1">
      <c r="B19" s="29"/>
      <c r="C19" s="30"/>
      <c r="D19" s="30"/>
      <c r="E19" s="30"/>
      <c r="F19" s="30"/>
      <c r="G19" s="304">
        <f>' (смета)'!G23+' (смета) (2)'!G20+' (смета) (3)'!G21+' (смета) (4)'!G19+' (смета) (5)'!G19+' (смета) (6)'!G19</f>
        <v>1446800</v>
      </c>
      <c r="H19" s="151">
        <f>' (смета)'!H23+' (смета) (2)'!H20+' (смета) (3)'!H21+' (смета) (4)'!H19+' (смета) (5)'!H19+' (смета) (6)'!H19</f>
        <v>158800</v>
      </c>
      <c r="I19" s="151">
        <f>' (смета)'!I23+' (смета) (2)'!I20+' (смета) (3)'!I21+' (смета) (4)'!I19+' (смета) (5)'!I19+' (смета) (6)'!I19</f>
        <v>476400</v>
      </c>
      <c r="J19" s="151">
        <f>' (смета)'!J23+' (смета) (2)'!J20+' (смета) (3)'!J21+' (смета) (4)'!J19+' (смета) (5)'!J19+' (смета) (6)'!J19</f>
        <v>476400</v>
      </c>
      <c r="K19" s="151">
        <f>' (смета)'!K23+' (смета) (2)'!K20+' (смета) (3)'!K21+' (смета) (4)'!K19+' (смета) (5)'!K19+' (смета) (6)'!K19</f>
        <v>335200</v>
      </c>
      <c r="L19" s="31">
        <f>E13</f>
        <v>0</v>
      </c>
      <c r="M19" s="32" t="e">
        <f>G19/N9</f>
        <v>#DIV/0!</v>
      </c>
      <c r="N19" s="178">
        <f>G19/G19</f>
        <v>1</v>
      </c>
      <c r="O19" s="5"/>
      <c r="P19" s="6"/>
      <c r="Q19" s="6"/>
      <c r="R19" s="6"/>
      <c r="S19" s="6"/>
      <c r="T19" s="6"/>
      <c r="U19" s="6"/>
      <c r="V19" s="6"/>
      <c r="W19" s="6"/>
    </row>
    <row r="20" spans="2:24" s="6" customFormat="1" ht="24.75" customHeight="1" thickBot="1">
      <c r="B20" s="101" t="s">
        <v>28</v>
      </c>
      <c r="C20" s="102"/>
      <c r="D20" s="102"/>
      <c r="E20" s="102"/>
      <c r="F20" s="102"/>
      <c r="G20" s="298">
        <f>' (смета)'!G24+' (смета) (2)'!G21+' (смета) (3)'!G22+' (смета) (4)'!G20+' (смета) (5)'!G20+' (смета) (6)'!G20</f>
        <v>868080</v>
      </c>
      <c r="H20" s="152">
        <f>H19*0.6</f>
        <v>95280</v>
      </c>
      <c r="I20" s="152">
        <f>I19*0.6</f>
        <v>285840</v>
      </c>
      <c r="J20" s="152">
        <f>J19*0.6</f>
        <v>285840</v>
      </c>
      <c r="K20" s="152">
        <f>K19*0.6</f>
        <v>201120</v>
      </c>
      <c r="L20" s="33"/>
      <c r="M20" s="32">
        <f>G20/8208</f>
        <v>105.76</v>
      </c>
      <c r="N20" s="179">
        <f>G20/G19</f>
        <v>0.6</v>
      </c>
      <c r="O20" s="147"/>
      <c r="X20" s="142"/>
    </row>
    <row r="21" spans="2:22" s="6" customFormat="1" ht="17.25" customHeight="1">
      <c r="B21" s="103"/>
      <c r="C21" s="34"/>
      <c r="D21" s="34"/>
      <c r="E21" s="34"/>
      <c r="F21" s="35"/>
      <c r="G21" s="150">
        <f>' (смета)'!G25+' (смета) (2)'!G22+' (смета) (3)'!G23+' (смета) (4)'!G21+' (смета) (5)'!G21+' (смета) (6)'!G21</f>
        <v>0</v>
      </c>
      <c r="H21" s="148">
        <v>0</v>
      </c>
      <c r="I21" s="148"/>
      <c r="J21" s="148"/>
      <c r="K21" s="148"/>
      <c r="L21" s="36" t="e">
        <f>M21</f>
        <v>#DIV/0!</v>
      </c>
      <c r="M21" s="32" t="e">
        <f>G21/N9</f>
        <v>#DIV/0!</v>
      </c>
      <c r="N21" s="179"/>
      <c r="P21" s="181" t="s">
        <v>142</v>
      </c>
      <c r="Q21" s="182"/>
      <c r="R21" s="182"/>
      <c r="S21" s="182"/>
      <c r="T21" s="183"/>
      <c r="U21" s="18"/>
      <c r="V21" s="18"/>
    </row>
    <row r="22" spans="1:24" s="6" customFormat="1" ht="17.25" customHeight="1">
      <c r="A22" s="6" t="s">
        <v>124</v>
      </c>
      <c r="B22" s="99" t="s">
        <v>132</v>
      </c>
      <c r="C22" s="37"/>
      <c r="D22" s="37"/>
      <c r="E22" s="37"/>
      <c r="F22" s="37"/>
      <c r="G22" s="150">
        <f>' (смета)'!G26+' (смета) (2)'!G23+' (смета) (3)'!G24+' (смета) (4)'!G22+' (смета) (5)'!G22+' (смета) (6)'!G22</f>
        <v>666731</v>
      </c>
      <c r="H22" s="27">
        <f>H20/1.302</f>
        <v>73180</v>
      </c>
      <c r="I22" s="27">
        <f>I20/1.302</f>
        <v>219539</v>
      </c>
      <c r="J22" s="27">
        <f>J20/1.302</f>
        <v>219539</v>
      </c>
      <c r="K22" s="27">
        <f>K20/1.302</f>
        <v>154470</v>
      </c>
      <c r="L22" s="38" t="e">
        <f>M22</f>
        <v>#DIV/0!</v>
      </c>
      <c r="M22" s="32" t="e">
        <f>G22/N9</f>
        <v>#DIV/0!</v>
      </c>
      <c r="N22" s="179"/>
      <c r="P22" s="184" t="s">
        <v>123</v>
      </c>
      <c r="Q22" s="185">
        <f>E13*0.546/1.302/1.1357/1.3</f>
        <v>0</v>
      </c>
      <c r="R22" s="186" t="s">
        <v>143</v>
      </c>
      <c r="S22" s="186"/>
      <c r="T22" s="197" t="s">
        <v>189</v>
      </c>
      <c r="U22" s="186"/>
      <c r="V22" s="186"/>
      <c r="X22" s="142"/>
    </row>
    <row r="23" spans="1:22" s="6" customFormat="1" ht="17.25" customHeight="1" hidden="1">
      <c r="A23" s="5" t="s">
        <v>125</v>
      </c>
      <c r="B23" s="39" t="s">
        <v>129</v>
      </c>
      <c r="C23" s="39"/>
      <c r="D23" s="37"/>
      <c r="E23" s="37"/>
      <c r="F23" s="37"/>
      <c r="G23" s="150">
        <f>' (смета)'!G27+' (смета) (2)'!G24+' (смета) (3)'!G25+' (смета) (4)'!G23+' (смета) (5)'!G23+' (смета) (6)'!G23</f>
        <v>0</v>
      </c>
      <c r="H23" s="27"/>
      <c r="I23" s="27"/>
      <c r="J23" s="27"/>
      <c r="K23" s="27"/>
      <c r="L23" s="40"/>
      <c r="M23" s="32">
        <f>G23/5760</f>
        <v>0</v>
      </c>
      <c r="N23" s="179"/>
      <c r="P23" s="187"/>
      <c r="Q23" s="18"/>
      <c r="R23" s="18"/>
      <c r="S23" s="18"/>
      <c r="T23" s="188"/>
      <c r="U23" s="18"/>
      <c r="V23" s="18"/>
    </row>
    <row r="24" spans="1:22" s="6" customFormat="1" ht="17.25" customHeight="1" thickBot="1">
      <c r="A24" s="5" t="s">
        <v>125</v>
      </c>
      <c r="B24" s="100" t="s">
        <v>133</v>
      </c>
      <c r="C24" s="41"/>
      <c r="D24" s="42"/>
      <c r="E24" s="42"/>
      <c r="F24" s="42"/>
      <c r="G24" s="150">
        <f>' (смета)'!G28+' (смета) (2)'!G25+' (смета) (3)'!G26+' (смета) (4)'!G24+' (смета) (5)'!G24+' (смета) (6)'!G24</f>
        <v>201349</v>
      </c>
      <c r="H24" s="27">
        <f>H20-H22</f>
        <v>22100</v>
      </c>
      <c r="I24" s="27">
        <f>I20-I22</f>
        <v>66301</v>
      </c>
      <c r="J24" s="27">
        <f>J20-J22</f>
        <v>66301</v>
      </c>
      <c r="K24" s="27">
        <f>K20-K22</f>
        <v>46650</v>
      </c>
      <c r="L24" s="43" t="e">
        <f>M24</f>
        <v>#DIV/0!</v>
      </c>
      <c r="M24" s="32" t="e">
        <f aca="true" t="shared" si="0" ref="M24:M32">G24/$N$9</f>
        <v>#DIV/0!</v>
      </c>
      <c r="N24" s="179"/>
      <c r="P24" s="189" t="s">
        <v>141</v>
      </c>
      <c r="Q24" s="190">
        <f>E13*0.054/1.302/1.1357/1.3</f>
        <v>0</v>
      </c>
      <c r="R24" s="191" t="s">
        <v>143</v>
      </c>
      <c r="S24" s="191"/>
      <c r="T24" s="198" t="s">
        <v>159</v>
      </c>
      <c r="U24" s="18"/>
      <c r="V24" s="18"/>
    </row>
    <row r="25" spans="2:16" s="6" customFormat="1" ht="24.75" customHeight="1">
      <c r="B25" s="117" t="s">
        <v>0</v>
      </c>
      <c r="C25" s="118"/>
      <c r="D25" s="118"/>
      <c r="E25" s="118"/>
      <c r="F25" s="118"/>
      <c r="G25" s="298">
        <f>' (смета)'!G29+' (смета) (2)'!G26+' (смета) (3)'!G27+' (смета) (4)'!G25+' (смета) (5)'!G25+' (смета) (6)'!G25</f>
        <v>235828</v>
      </c>
      <c r="H25" s="152">
        <f>H26+H27+H28+H41+H42+H47</f>
        <v>25884</v>
      </c>
      <c r="I25" s="152">
        <f>I26+I27+I28+I41+I42+I47</f>
        <v>77653</v>
      </c>
      <c r="J25" s="152">
        <f>J26+J27+J28+J41+J42+J47</f>
        <v>77653</v>
      </c>
      <c r="K25" s="152">
        <f>K26+K27+K28+K41+K42+K47</f>
        <v>54638</v>
      </c>
      <c r="L25" s="201" t="e">
        <f>L26+L27+L28+L41+L42+L47</f>
        <v>#DIV/0!</v>
      </c>
      <c r="M25" s="32" t="e">
        <f t="shared" si="0"/>
        <v>#DIV/0!</v>
      </c>
      <c r="N25" s="179"/>
      <c r="P25" s="8"/>
    </row>
    <row r="26" spans="2:15" s="44" customFormat="1" ht="17.25" customHeight="1" hidden="1">
      <c r="B26" s="45" t="s">
        <v>126</v>
      </c>
      <c r="C26" s="80"/>
      <c r="D26" s="80"/>
      <c r="E26" s="80"/>
      <c r="F26" s="80"/>
      <c r="G26" s="150">
        <f>' (смета)'!G30+' (смета) (2)'!G27+' (смета) (3)'!G28+' (смета) (4)'!G26+' (смета) (5)'!G26+' (смета) (6)'!G26</f>
        <v>0</v>
      </c>
      <c r="H26" s="27"/>
      <c r="I26" s="27"/>
      <c r="J26" s="27"/>
      <c r="K26" s="154"/>
      <c r="L26" s="46">
        <f>(H26/3*$L$19)/($H$19/3)</f>
        <v>0</v>
      </c>
      <c r="M26" s="32" t="e">
        <f t="shared" si="0"/>
        <v>#DIV/0!</v>
      </c>
      <c r="N26" s="179"/>
      <c r="O26" s="5"/>
    </row>
    <row r="27" spans="2:15" s="44" customFormat="1" ht="17.25" customHeight="1" hidden="1">
      <c r="B27" s="45" t="s">
        <v>127</v>
      </c>
      <c r="C27" s="80"/>
      <c r="D27" s="80"/>
      <c r="E27" s="80"/>
      <c r="F27" s="80"/>
      <c r="G27" s="150">
        <f>' (смета)'!G31+' (смета) (2)'!G28+' (смета) (3)'!G29+' (смета) (4)'!G27+' (смета) (5)'!G27+' (смета) (6)'!G27</f>
        <v>0</v>
      </c>
      <c r="H27" s="27"/>
      <c r="I27" s="27"/>
      <c r="J27" s="27"/>
      <c r="K27" s="27"/>
      <c r="L27" s="46"/>
      <c r="M27" s="32" t="e">
        <f t="shared" si="0"/>
        <v>#DIV/0!</v>
      </c>
      <c r="N27" s="179"/>
      <c r="O27" s="5"/>
    </row>
    <row r="28" spans="2:15" s="44" customFormat="1" ht="17.25" customHeight="1">
      <c r="B28" s="2" t="s">
        <v>106</v>
      </c>
      <c r="C28" s="105"/>
      <c r="D28" s="105"/>
      <c r="E28" s="105"/>
      <c r="F28" s="105"/>
      <c r="G28" s="150">
        <f>' (смета)'!G32+' (смета) (2)'!G29+' (смета) (3)'!G30+' (смета) (4)'!G28+' (смета) (5)'!G28+' (смета) (6)'!G28</f>
        <v>144680</v>
      </c>
      <c r="H28" s="27">
        <f>H29+H32+H36</f>
        <v>15880</v>
      </c>
      <c r="I28" s="27">
        <f>I29+I32+I36</f>
        <v>47640</v>
      </c>
      <c r="J28" s="27">
        <f>SUM(J29:J36)</f>
        <v>47640</v>
      </c>
      <c r="K28" s="27">
        <f>SUM(K29:K36)</f>
        <v>33520</v>
      </c>
      <c r="L28" s="43" t="e">
        <f>L29+L32+L36</f>
        <v>#DIV/0!</v>
      </c>
      <c r="M28" s="32" t="e">
        <f>G28/$N$9</f>
        <v>#DIV/0!</v>
      </c>
      <c r="N28" s="179">
        <f>G28/G19</f>
        <v>0.1</v>
      </c>
      <c r="O28" s="5"/>
    </row>
    <row r="29" spans="2:15" s="47" customFormat="1" ht="17.25" customHeight="1">
      <c r="B29" s="39" t="s">
        <v>2</v>
      </c>
      <c r="C29" s="37"/>
      <c r="D29" s="37"/>
      <c r="E29" s="48">
        <v>0.065</v>
      </c>
      <c r="F29" s="49"/>
      <c r="G29" s="150">
        <f>' (смета)'!G33+' (смета) (2)'!G30+' (смета) (3)'!G31+' (смета) (4)'!G29+' (смета) (5)'!G29+' (смета) (6)'!G29</f>
        <v>94042</v>
      </c>
      <c r="H29" s="156">
        <f>+H19*6.5%</f>
        <v>10322</v>
      </c>
      <c r="I29" s="156">
        <f>+I19*6.5%</f>
        <v>30966</v>
      </c>
      <c r="J29" s="156">
        <f>+J19*6.5%</f>
        <v>30966</v>
      </c>
      <c r="K29" s="156">
        <f>+K19*6.5%</f>
        <v>21788</v>
      </c>
      <c r="L29" s="38" t="e">
        <f>M29</f>
        <v>#DIV/0!</v>
      </c>
      <c r="M29" s="32" t="e">
        <f t="shared" si="0"/>
        <v>#DIV/0!</v>
      </c>
      <c r="N29" s="179"/>
      <c r="O29" s="6"/>
    </row>
    <row r="30" spans="2:15" s="50" customFormat="1" ht="17.25" customHeight="1" hidden="1">
      <c r="B30" s="51" t="s">
        <v>3</v>
      </c>
      <c r="C30" s="52"/>
      <c r="D30" s="52" t="s">
        <v>4</v>
      </c>
      <c r="E30" s="53"/>
      <c r="F30" s="52" t="s">
        <v>5</v>
      </c>
      <c r="G30" s="150">
        <f>' (смета)'!G34+' (смета) (2)'!G31+' (смета) (3)'!G32+' (смета) (4)'!G30+' (смета) (5)'!G30+' (смета) (6)'!G30</f>
        <v>0</v>
      </c>
      <c r="H30" s="158"/>
      <c r="I30" s="158"/>
      <c r="J30" s="158"/>
      <c r="K30" s="158"/>
      <c r="L30" s="38">
        <f>(H30/3*$L$19)/($H$19/3)</f>
        <v>0</v>
      </c>
      <c r="M30" s="32" t="e">
        <f t="shared" si="0"/>
        <v>#DIV/0!</v>
      </c>
      <c r="N30" s="180"/>
      <c r="O30" s="54"/>
    </row>
    <row r="31" spans="2:15" s="50" customFormat="1" ht="17.25" customHeight="1" hidden="1">
      <c r="B31" s="55" t="s">
        <v>6</v>
      </c>
      <c r="C31" s="56">
        <f>C30</f>
        <v>0</v>
      </c>
      <c r="D31" s="56" t="s">
        <v>7</v>
      </c>
      <c r="E31" s="57"/>
      <c r="F31" s="56"/>
      <c r="G31" s="150">
        <f>' (смета)'!G35+' (смета) (2)'!G32+' (смета) (3)'!G33+' (смета) (4)'!G31+' (смета) (5)'!G31+' (смета) (6)'!G31</f>
        <v>0</v>
      </c>
      <c r="H31" s="158"/>
      <c r="I31" s="158"/>
      <c r="J31" s="158"/>
      <c r="K31" s="158"/>
      <c r="L31" s="38">
        <f>(H31/3*$L$19)/($H$19/3)</f>
        <v>0</v>
      </c>
      <c r="M31" s="32" t="e">
        <f t="shared" si="0"/>
        <v>#DIV/0!</v>
      </c>
      <c r="N31" s="180"/>
      <c r="O31" s="54"/>
    </row>
    <row r="32" spans="2:15" s="47" customFormat="1" ht="17.25" customHeight="1">
      <c r="B32" s="39" t="s">
        <v>8</v>
      </c>
      <c r="C32" s="37"/>
      <c r="D32" s="37"/>
      <c r="E32" s="48">
        <v>0.021</v>
      </c>
      <c r="F32" s="49"/>
      <c r="G32" s="150">
        <f>' (смета)'!G36+' (смета) (2)'!G33+' (смета) (3)'!G34+' (смета) (4)'!G32+' (смета) (5)'!G32+' (смета) (6)'!G32</f>
        <v>30383</v>
      </c>
      <c r="H32" s="156">
        <f>+H19*2.1%</f>
        <v>3334.8</v>
      </c>
      <c r="I32" s="156">
        <f>+I19*2.1%</f>
        <v>10004.4</v>
      </c>
      <c r="J32" s="156">
        <f>+J19*2.1%</f>
        <v>10004.4</v>
      </c>
      <c r="K32" s="156">
        <f>+K19*2.1%</f>
        <v>7039.2</v>
      </c>
      <c r="L32" s="38" t="e">
        <f>M32</f>
        <v>#DIV/0!</v>
      </c>
      <c r="M32" s="32" t="e">
        <f t="shared" si="0"/>
        <v>#DIV/0!</v>
      </c>
      <c r="N32" s="175"/>
      <c r="O32" s="6"/>
    </row>
    <row r="33" spans="2:16" s="50" customFormat="1" ht="18.75" hidden="1">
      <c r="B33" s="58"/>
      <c r="C33" s="52"/>
      <c r="D33" s="52">
        <f>1.44*24*3</f>
        <v>103.68</v>
      </c>
      <c r="E33" s="53" t="s">
        <v>48</v>
      </c>
      <c r="F33" s="106"/>
      <c r="G33" s="150">
        <f>' (смета)'!G37+' (смета) (2)'!G34+' (смета) (3)'!G35+' (смета) (4)'!G33+' (смета) (5)'!G33+' (смета) (6)'!G33</f>
        <v>0</v>
      </c>
      <c r="H33" s="158"/>
      <c r="I33" s="158"/>
      <c r="J33" s="158"/>
      <c r="K33" s="158"/>
      <c r="L33" s="38">
        <f>(H33/3*$L$19)/($H$19/3)</f>
        <v>0</v>
      </c>
      <c r="M33" s="32" t="e">
        <f>F33/$N$9</f>
        <v>#DIV/0!</v>
      </c>
      <c r="N33" s="180"/>
      <c r="O33" s="54"/>
      <c r="P33" s="50">
        <v>224</v>
      </c>
    </row>
    <row r="34" spans="2:15" s="50" customFormat="1" ht="18.75" hidden="1">
      <c r="B34" s="52" t="s">
        <v>36</v>
      </c>
      <c r="C34" s="54"/>
      <c r="D34" s="52"/>
      <c r="E34" s="53"/>
      <c r="F34" s="52"/>
      <c r="G34" s="150">
        <f>' (смета)'!G38+' (смета) (2)'!G35+' (смета) (3)'!G36+' (смета) (4)'!G34+' (смета) (5)'!G34+' (смета) (6)'!G34</f>
        <v>0</v>
      </c>
      <c r="H34" s="158"/>
      <c r="I34" s="158"/>
      <c r="J34" s="158"/>
      <c r="K34" s="158"/>
      <c r="L34" s="38">
        <f>(H34/3*$L$19)/($H$19/3)</f>
        <v>0</v>
      </c>
      <c r="M34" s="32" t="e">
        <f aca="true" t="shared" si="1" ref="M34:M72">G34/$N$9</f>
        <v>#DIV/0!</v>
      </c>
      <c r="N34" s="180"/>
      <c r="O34" s="54"/>
    </row>
    <row r="35" spans="2:15" s="50" customFormat="1" ht="18.75" hidden="1">
      <c r="B35" s="59"/>
      <c r="C35" s="52" t="s">
        <v>37</v>
      </c>
      <c r="D35" s="52"/>
      <c r="E35" s="53"/>
      <c r="F35" s="59"/>
      <c r="G35" s="150" t="e">
        <f>' (смета)'!G39+' (смета) (2)'!G36+' (смета) (3)'!G37+' (смета) (4)'!G35+' (смета) (5)'!G35+' (смета) (6)'!G35</f>
        <v>#VALUE!</v>
      </c>
      <c r="H35" s="158"/>
      <c r="I35" s="158"/>
      <c r="J35" s="158"/>
      <c r="K35" s="158"/>
      <c r="L35" s="38">
        <f>(H35/3*$L$19)/($H$19/3)</f>
        <v>0</v>
      </c>
      <c r="M35" s="32" t="e">
        <f t="shared" si="1"/>
        <v>#VALUE!</v>
      </c>
      <c r="N35" s="180"/>
      <c r="O35" s="54"/>
    </row>
    <row r="36" spans="2:15" s="47" customFormat="1" ht="17.25" customHeight="1">
      <c r="B36" s="60" t="s">
        <v>9</v>
      </c>
      <c r="C36" s="37"/>
      <c r="D36" s="37"/>
      <c r="E36" s="48">
        <v>0.014</v>
      </c>
      <c r="F36" s="61"/>
      <c r="G36" s="150">
        <f>' (смета)'!G40+' (смета) (2)'!G37+' (смета) (3)'!G38+' (смета) (4)'!G36+' (смета) (5)'!G36+' (смета) (6)'!G36</f>
        <v>20255</v>
      </c>
      <c r="H36" s="156">
        <f>+H19*1.4%</f>
        <v>2223.2</v>
      </c>
      <c r="I36" s="156">
        <f>+I19*1.4%</f>
        <v>6669.6</v>
      </c>
      <c r="J36" s="156">
        <f>+J19*1.4%</f>
        <v>6669.6</v>
      </c>
      <c r="K36" s="156">
        <f>+K19*1.4%</f>
        <v>4692.8</v>
      </c>
      <c r="L36" s="38" t="e">
        <f>M36</f>
        <v>#DIV/0!</v>
      </c>
      <c r="M36" s="32" t="e">
        <f t="shared" si="1"/>
        <v>#DIV/0!</v>
      </c>
      <c r="N36" s="175"/>
      <c r="O36" s="6"/>
    </row>
    <row r="37" spans="2:16" s="50" customFormat="1" ht="18.75" hidden="1">
      <c r="B37" s="58" t="s">
        <v>10</v>
      </c>
      <c r="C37" s="52"/>
      <c r="D37" s="52">
        <f>50</f>
        <v>50</v>
      </c>
      <c r="E37" s="52" t="s">
        <v>49</v>
      </c>
      <c r="F37" s="54"/>
      <c r="G37" s="150">
        <f>' (смета)'!G41+' (смета) (2)'!G38+' (смета) (3)'!G39+' (смета) (4)'!G37+' (смета) (5)'!G37+' (смета) (6)'!G37</f>
        <v>0</v>
      </c>
      <c r="H37" s="163"/>
      <c r="I37" s="163"/>
      <c r="J37" s="163"/>
      <c r="K37" s="163"/>
      <c r="L37" s="62"/>
      <c r="M37" s="32" t="e">
        <f t="shared" si="1"/>
        <v>#DIV/0!</v>
      </c>
      <c r="N37" s="180"/>
      <c r="O37" s="54"/>
      <c r="P37" s="50">
        <v>224</v>
      </c>
    </row>
    <row r="38" spans="2:16" s="50" customFormat="1" ht="18.75" hidden="1">
      <c r="B38" s="58" t="s">
        <v>11</v>
      </c>
      <c r="C38" s="52"/>
      <c r="D38" s="52">
        <f>50</f>
        <v>50</v>
      </c>
      <c r="E38" s="52" t="s">
        <v>49</v>
      </c>
      <c r="F38" s="54"/>
      <c r="G38" s="150">
        <f>' (смета)'!G42+' (смета) (2)'!G39+' (смета) (3)'!G40+' (смета) (4)'!G38+' (смета) (5)'!G38+' (смета) (6)'!G38</f>
        <v>0</v>
      </c>
      <c r="H38" s="163"/>
      <c r="I38" s="163"/>
      <c r="J38" s="163"/>
      <c r="K38" s="163">
        <f>H38</f>
        <v>0</v>
      </c>
      <c r="L38" s="62"/>
      <c r="M38" s="32" t="e">
        <f t="shared" si="1"/>
        <v>#DIV/0!</v>
      </c>
      <c r="N38" s="180"/>
      <c r="O38" s="54"/>
      <c r="P38" s="50">
        <v>224</v>
      </c>
    </row>
    <row r="39" spans="2:15" s="47" customFormat="1" ht="11.25" customHeight="1" hidden="1">
      <c r="B39" s="63"/>
      <c r="C39" s="18"/>
      <c r="D39" s="18"/>
      <c r="E39" s="18"/>
      <c r="F39" s="18"/>
      <c r="G39" s="150">
        <f>' (смета)'!G43+' (смета) (2)'!G40+' (смета) (3)'!G41+' (смета) (4)'!G39+' (смета) (5)'!G39+' (смета) (6)'!G39</f>
        <v>0</v>
      </c>
      <c r="H39" s="164"/>
      <c r="I39" s="149"/>
      <c r="J39" s="165"/>
      <c r="K39" s="165"/>
      <c r="L39" s="62"/>
      <c r="M39" s="32" t="e">
        <f t="shared" si="1"/>
        <v>#DIV/0!</v>
      </c>
      <c r="N39" s="175"/>
      <c r="O39" s="6"/>
    </row>
    <row r="40" spans="2:15" s="44" customFormat="1" ht="18.75" customHeight="1" hidden="1">
      <c r="B40" s="45" t="s">
        <v>34</v>
      </c>
      <c r="C40" s="80"/>
      <c r="D40" s="80"/>
      <c r="E40" s="80"/>
      <c r="F40" s="80"/>
      <c r="G40" s="150">
        <f>' (смета)'!G44+' (смета) (2)'!G41+' (смета) (3)'!G42+' (смета) (4)'!G40+' (смета) (5)'!G40+' (смета) (6)'!G40</f>
        <v>0</v>
      </c>
      <c r="H40" s="146"/>
      <c r="I40" s="146"/>
      <c r="J40" s="146"/>
      <c r="K40" s="166"/>
      <c r="L40" s="64"/>
      <c r="M40" s="32" t="e">
        <f t="shared" si="1"/>
        <v>#DIV/0!</v>
      </c>
      <c r="N40" s="176"/>
      <c r="O40" s="5"/>
    </row>
    <row r="41" spans="2:15" s="44" customFormat="1" ht="20.25" customHeight="1" hidden="1">
      <c r="B41" s="77"/>
      <c r="C41" s="107"/>
      <c r="D41" s="107"/>
      <c r="E41" s="107"/>
      <c r="F41" s="107"/>
      <c r="G41" s="150">
        <f>' (смета)'!G45+' (смета) (2)'!G42+' (смета) (3)'!G43+' (смета) (4)'!G41+' (смета) (5)'!G41+' (смета) (6)'!G41</f>
        <v>0</v>
      </c>
      <c r="H41" s="167"/>
      <c r="I41" s="167"/>
      <c r="J41" s="167"/>
      <c r="K41" s="167"/>
      <c r="L41" s="46">
        <f>(H41/3*$L$19)/($H$19/3)</f>
        <v>0</v>
      </c>
      <c r="M41" s="32" t="e">
        <f t="shared" si="1"/>
        <v>#DIV/0!</v>
      </c>
      <c r="N41" s="176"/>
      <c r="O41" s="5"/>
    </row>
    <row r="42" spans="2:15" s="44" customFormat="1" ht="21" customHeight="1" hidden="1">
      <c r="B42" s="108" t="s">
        <v>35</v>
      </c>
      <c r="C42" s="109"/>
      <c r="D42" s="109"/>
      <c r="E42" s="109"/>
      <c r="F42" s="109"/>
      <c r="G42" s="150">
        <f>' (смета)'!G46+' (смета) (2)'!G43+' (смета) (3)'!G44+' (смета) (4)'!G42+' (смета) (5)'!G42+' (смета) (6)'!G42</f>
        <v>0</v>
      </c>
      <c r="H42" s="146">
        <f>H43+H45+H46</f>
        <v>0</v>
      </c>
      <c r="I42" s="146">
        <f>I43+I45+I46</f>
        <v>0</v>
      </c>
      <c r="J42" s="146">
        <f>J43+J45+J46</f>
        <v>0</v>
      </c>
      <c r="K42" s="146">
        <f>K43+K45+K46</f>
        <v>0</v>
      </c>
      <c r="L42" s="40" t="e">
        <f>L43+L45+L46</f>
        <v>#DIV/0!</v>
      </c>
      <c r="M42" s="32" t="e">
        <f t="shared" si="1"/>
        <v>#DIV/0!</v>
      </c>
      <c r="N42" s="176"/>
      <c r="O42" s="5"/>
    </row>
    <row r="43" spans="2:15" s="67" customFormat="1" ht="15" customHeight="1" hidden="1">
      <c r="B43" s="60" t="s">
        <v>12</v>
      </c>
      <c r="C43" s="65"/>
      <c r="D43" s="65"/>
      <c r="E43" s="65"/>
      <c r="F43" s="61"/>
      <c r="G43" s="150">
        <f>' (смета)'!G47+' (смета) (2)'!G44+' (смета) (3)'!G45+' (смета) (4)'!G43+' (смета) (5)'!G43+' (смета) (6)'!G43</f>
        <v>0</v>
      </c>
      <c r="H43" s="27"/>
      <c r="I43" s="27"/>
      <c r="J43" s="27"/>
      <c r="K43" s="27"/>
      <c r="L43" s="66">
        <f>(H43/3*$L$19)/($H$19/3)</f>
        <v>0</v>
      </c>
      <c r="M43" s="32" t="e">
        <f t="shared" si="1"/>
        <v>#DIV/0!</v>
      </c>
      <c r="N43" s="176"/>
      <c r="O43" s="5"/>
    </row>
    <row r="44" spans="2:15" s="50" customFormat="1" ht="15" customHeight="1" hidden="1">
      <c r="B44" s="58" t="s">
        <v>13</v>
      </c>
      <c r="C44" s="52"/>
      <c r="D44" s="52"/>
      <c r="E44" s="52"/>
      <c r="F44" s="52" t="s">
        <v>14</v>
      </c>
      <c r="G44" s="150">
        <f>' (смета)'!G48+' (смета) (2)'!G45+' (смета) (3)'!G46+' (смета) (4)'!G44+' (смета) (5)'!G44+' (смета) (6)'!G44</f>
        <v>0</v>
      </c>
      <c r="H44" s="163">
        <f>ROUND(E44*0.976*1.18,1)</f>
        <v>0</v>
      </c>
      <c r="I44" s="163">
        <f>ROUND(E44*0.976*1.18,1)</f>
        <v>0</v>
      </c>
      <c r="J44" s="163">
        <f>ROUND(E44*0.976*1.18,1)</f>
        <v>0</v>
      </c>
      <c r="K44" s="163">
        <f>ROUND(E44*0.976*1.18,1)</f>
        <v>0</v>
      </c>
      <c r="L44" s="68">
        <f>(H44/3*$L$19)/($H$19/3)</f>
        <v>0</v>
      </c>
      <c r="M44" s="32" t="e">
        <f t="shared" si="1"/>
        <v>#DIV/0!</v>
      </c>
      <c r="N44" s="180"/>
      <c r="O44" s="54"/>
    </row>
    <row r="45" spans="2:15" s="47" customFormat="1" ht="15" customHeight="1" hidden="1">
      <c r="B45" s="39" t="s">
        <v>15</v>
      </c>
      <c r="C45" s="37"/>
      <c r="D45" s="37"/>
      <c r="E45" s="37"/>
      <c r="F45" s="49"/>
      <c r="G45" s="150">
        <f>' (смета)'!G49+' (смета) (2)'!G46+' (смета) (3)'!G47+' (смета) (4)'!G45+' (смета) (5)'!G45+' (смета) (6)'!G45</f>
        <v>0</v>
      </c>
      <c r="H45" s="27"/>
      <c r="I45" s="27"/>
      <c r="J45" s="27"/>
      <c r="K45" s="27"/>
      <c r="L45" s="46" t="e">
        <f>M45</f>
        <v>#DIV/0!</v>
      </c>
      <c r="M45" s="32" t="e">
        <f t="shared" si="1"/>
        <v>#DIV/0!</v>
      </c>
      <c r="N45" s="175"/>
      <c r="O45" s="6"/>
    </row>
    <row r="46" spans="2:15" s="50" customFormat="1" ht="15" customHeight="1" hidden="1">
      <c r="B46" s="39" t="s">
        <v>16</v>
      </c>
      <c r="C46" s="69"/>
      <c r="D46" s="69"/>
      <c r="E46" s="69"/>
      <c r="F46" s="69"/>
      <c r="G46" s="150">
        <f>' (смета)'!G50+' (смета) (2)'!G47+' (смета) (3)'!G48+' (смета) (4)'!G46+' (смета) (5)'!G46+' (смета) (6)'!G46</f>
        <v>0</v>
      </c>
      <c r="H46" s="27"/>
      <c r="I46" s="27"/>
      <c r="J46" s="27"/>
      <c r="K46" s="27"/>
      <c r="L46" s="70" t="e">
        <f>M46</f>
        <v>#DIV/0!</v>
      </c>
      <c r="M46" s="32" t="e">
        <f t="shared" si="1"/>
        <v>#DIV/0!</v>
      </c>
      <c r="N46" s="180"/>
      <c r="O46" s="54"/>
    </row>
    <row r="47" spans="2:15" s="44" customFormat="1" ht="18" customHeight="1">
      <c r="B47" s="2" t="s">
        <v>128</v>
      </c>
      <c r="C47" s="105"/>
      <c r="D47" s="105"/>
      <c r="E47" s="105"/>
      <c r="F47" s="105"/>
      <c r="G47" s="150">
        <f>' (смета)'!G51+' (смета) (2)'!G48+' (смета) (3)'!G49+' (смета) (4)'!G47+' (смета) (5)'!G47+' (смета) (6)'!G47</f>
        <v>91148</v>
      </c>
      <c r="H47" s="27">
        <f>SUM(H48:H51)</f>
        <v>10004</v>
      </c>
      <c r="I47" s="27">
        <f>SUM(I48:I51)</f>
        <v>30013</v>
      </c>
      <c r="J47" s="27">
        <f>SUM(J48:J51)</f>
        <v>30013</v>
      </c>
      <c r="K47" s="27">
        <f>SUM(K48:K51)</f>
        <v>21118</v>
      </c>
      <c r="L47" s="46" t="e">
        <f>L48+L49+L50</f>
        <v>#DIV/0!</v>
      </c>
      <c r="M47" s="32" t="e">
        <f t="shared" si="1"/>
        <v>#DIV/0!</v>
      </c>
      <c r="N47" s="176"/>
      <c r="O47" s="5"/>
    </row>
    <row r="48" spans="2:15" s="47" customFormat="1" ht="32.25" customHeight="1">
      <c r="B48" s="308" t="s">
        <v>150</v>
      </c>
      <c r="C48" s="309"/>
      <c r="D48" s="309"/>
      <c r="E48" s="71">
        <v>0.05</v>
      </c>
      <c r="F48" s="37"/>
      <c r="G48" s="150">
        <f>' (смета)'!G52+' (смета) (2)'!G49+' (смета) (3)'!G50+' (смета) (4)'!G48+' (смета) (5)'!G48+' (смета) (6)'!G48</f>
        <v>72340</v>
      </c>
      <c r="H48" s="27">
        <f>H19*5%</f>
        <v>7940</v>
      </c>
      <c r="I48" s="27">
        <f>I19*5%</f>
        <v>23820</v>
      </c>
      <c r="J48" s="27">
        <f>J19*5%</f>
        <v>23820</v>
      </c>
      <c r="K48" s="27">
        <f>K19*5%</f>
        <v>16760</v>
      </c>
      <c r="L48" s="70" t="e">
        <f>M48</f>
        <v>#DIV/0!</v>
      </c>
      <c r="M48" s="32" t="e">
        <f t="shared" si="1"/>
        <v>#DIV/0!</v>
      </c>
      <c r="N48" s="179">
        <f>G48/G19</f>
        <v>0.05</v>
      </c>
      <c r="O48" s="6"/>
    </row>
    <row r="49" spans="2:15" s="47" customFormat="1" ht="18.75" customHeight="1">
      <c r="B49" s="39" t="s">
        <v>105</v>
      </c>
      <c r="C49" s="42"/>
      <c r="D49" s="42"/>
      <c r="E49" s="121">
        <v>0.013</v>
      </c>
      <c r="F49" s="85"/>
      <c r="G49" s="150">
        <f>' (смета)'!G53+' (смета) (2)'!G50+' (смета) (3)'!G51+' (смета) (4)'!G49+' (смета) (5)'!G49+' (смета) (6)'!G49</f>
        <v>18808</v>
      </c>
      <c r="H49" s="27">
        <f>H19*1.3%</f>
        <v>2064</v>
      </c>
      <c r="I49" s="27">
        <f>I19*1.3%</f>
        <v>6193</v>
      </c>
      <c r="J49" s="27">
        <f>J19*1.3%</f>
        <v>6193</v>
      </c>
      <c r="K49" s="27">
        <f>K19*1.3%</f>
        <v>4358</v>
      </c>
      <c r="L49" s="40">
        <f>G49/7296</f>
        <v>2.6</v>
      </c>
      <c r="M49" s="32" t="e">
        <f t="shared" si="1"/>
        <v>#DIV/0!</v>
      </c>
      <c r="N49" s="179">
        <f>G49/G19</f>
        <v>0.013</v>
      </c>
      <c r="O49" s="6"/>
    </row>
    <row r="50" spans="2:15" s="47" customFormat="1" ht="15" customHeight="1" hidden="1">
      <c r="B50" s="39" t="s">
        <v>50</v>
      </c>
      <c r="C50" s="65"/>
      <c r="D50" s="65"/>
      <c r="E50" s="65"/>
      <c r="F50" s="65"/>
      <c r="G50" s="150">
        <f>' (смета)'!G54+' (смета) (2)'!G51+' (смета) (3)'!G52+' (смета) (4)'!G50+' (смета) (5)'!G50+' (смета) (6)'!G50</f>
        <v>0</v>
      </c>
      <c r="H50" s="27"/>
      <c r="I50" s="27"/>
      <c r="J50" s="27"/>
      <c r="K50" s="27"/>
      <c r="L50" s="40">
        <f>L51</f>
        <v>0</v>
      </c>
      <c r="M50" s="32" t="e">
        <f t="shared" si="1"/>
        <v>#DIV/0!</v>
      </c>
      <c r="N50" s="175"/>
      <c r="O50" s="6"/>
    </row>
    <row r="51" spans="2:15" s="50" customFormat="1" ht="16.5" customHeight="1" hidden="1">
      <c r="B51" s="1" t="s">
        <v>101</v>
      </c>
      <c r="C51" s="72"/>
      <c r="D51" s="72"/>
      <c r="E51" s="73">
        <v>0.6</v>
      </c>
      <c r="F51" s="72"/>
      <c r="G51" s="150">
        <f>' (смета)'!G55+' (смета) (2)'!G52+' (смета) (3)'!G53+' (смета) (4)'!G51+' (смета) (5)'!G51+' (смета) (6)'!G51</f>
        <v>0</v>
      </c>
      <c r="H51" s="27">
        <f>H19*60%-H20</f>
        <v>0</v>
      </c>
      <c r="I51" s="27">
        <f>I19*60%-I20</f>
        <v>0</v>
      </c>
      <c r="J51" s="27">
        <f>J19*60%-J20</f>
        <v>0</v>
      </c>
      <c r="K51" s="27">
        <f>K19*60%-K20</f>
        <v>0</v>
      </c>
      <c r="L51" s="74">
        <f>G51/1440</f>
        <v>0</v>
      </c>
      <c r="M51" s="32" t="e">
        <f t="shared" si="1"/>
        <v>#DIV/0!</v>
      </c>
      <c r="N51" s="180"/>
      <c r="O51" s="54"/>
    </row>
    <row r="52" spans="2:15" s="50" customFormat="1" ht="15" customHeight="1" hidden="1">
      <c r="B52" s="58"/>
      <c r="C52" s="52"/>
      <c r="D52" s="52"/>
      <c r="E52" s="52"/>
      <c r="F52" s="52"/>
      <c r="G52" s="150">
        <f>' (смета)'!G56+' (смета) (2)'!G53+' (смета) (3)'!G54+' (смета) (4)'!G52+' (смета) (5)'!G52+' (смета) (6)'!G52</f>
        <v>0</v>
      </c>
      <c r="H52" s="146"/>
      <c r="I52" s="146"/>
      <c r="J52" s="146"/>
      <c r="K52" s="166"/>
      <c r="L52" s="75"/>
      <c r="M52" s="32" t="e">
        <f t="shared" si="1"/>
        <v>#DIV/0!</v>
      </c>
      <c r="N52" s="180"/>
      <c r="O52" s="54"/>
    </row>
    <row r="53" spans="1:14" s="6" customFormat="1" ht="15" customHeight="1" hidden="1">
      <c r="A53" s="18"/>
      <c r="B53" s="110" t="s">
        <v>17</v>
      </c>
      <c r="C53" s="111"/>
      <c r="D53" s="111"/>
      <c r="E53" s="111"/>
      <c r="F53" s="111"/>
      <c r="G53" s="150">
        <f>' (смета)'!G57+' (смета) (2)'!G54+' (смета) (3)'!G55+' (смета) (4)'!G53+' (смета) (5)'!G53+' (смета) (6)'!G53</f>
        <v>0</v>
      </c>
      <c r="H53" s="145">
        <f>H54+H55</f>
        <v>0</v>
      </c>
      <c r="I53" s="145">
        <f>I54+I55</f>
        <v>0</v>
      </c>
      <c r="J53" s="145">
        <f>J54+J55</f>
        <v>0</v>
      </c>
      <c r="K53" s="145">
        <f>K54+K55</f>
        <v>0</v>
      </c>
      <c r="L53" s="76" t="e">
        <f>L54+L55</f>
        <v>#DIV/0!</v>
      </c>
      <c r="M53" s="32" t="e">
        <f t="shared" si="1"/>
        <v>#DIV/0!</v>
      </c>
      <c r="N53" s="175"/>
    </row>
    <row r="54" spans="1:14" s="6" customFormat="1" ht="15" customHeight="1" hidden="1">
      <c r="A54" s="18"/>
      <c r="B54" s="58" t="s">
        <v>56</v>
      </c>
      <c r="C54" s="104"/>
      <c r="D54" s="104"/>
      <c r="E54" s="104"/>
      <c r="F54" s="104"/>
      <c r="G54" s="150">
        <f>' (смета)'!G58+' (смета) (2)'!G55+' (смета) (3)'!G56+' (смета) (4)'!G54+' (смета) (5)'!G54+' (смета) (6)'!G54</f>
        <v>0</v>
      </c>
      <c r="H54" s="27"/>
      <c r="I54" s="27"/>
      <c r="J54" s="27"/>
      <c r="K54" s="27"/>
      <c r="L54" s="76" t="e">
        <f>M54</f>
        <v>#DIV/0!</v>
      </c>
      <c r="M54" s="32" t="e">
        <f t="shared" si="1"/>
        <v>#DIV/0!</v>
      </c>
      <c r="N54" s="175"/>
    </row>
    <row r="55" spans="1:14" s="6" customFormat="1" ht="15" customHeight="1" hidden="1">
      <c r="A55" s="18"/>
      <c r="B55" s="77" t="s">
        <v>55</v>
      </c>
      <c r="C55" s="112"/>
      <c r="D55" s="112"/>
      <c r="E55" s="112"/>
      <c r="F55" s="113"/>
      <c r="G55" s="150">
        <f>' (смета)'!G59+' (смета) (2)'!G56+' (смета) (3)'!G57+' (смета) (4)'!G55+' (смета) (5)'!G55+' (смета) (6)'!G55</f>
        <v>0</v>
      </c>
      <c r="H55" s="148"/>
      <c r="I55" s="168"/>
      <c r="J55" s="148"/>
      <c r="K55" s="169"/>
      <c r="L55" s="75" t="e">
        <f>M55</f>
        <v>#DIV/0!</v>
      </c>
      <c r="M55" s="32" t="e">
        <f t="shared" si="1"/>
        <v>#DIV/0!</v>
      </c>
      <c r="N55" s="175"/>
    </row>
    <row r="56" spans="1:14" s="6" customFormat="1" ht="15" customHeight="1" hidden="1">
      <c r="A56" s="18"/>
      <c r="B56" s="114"/>
      <c r="C56" s="115"/>
      <c r="D56" s="115"/>
      <c r="E56" s="115"/>
      <c r="F56" s="115"/>
      <c r="G56" s="150">
        <f>' (смета)'!G60+' (смета) (2)'!G57+' (смета) (3)'!G58+' (смета) (4)'!G56+' (смета) (5)'!G56+' (смета) (6)'!G56</f>
        <v>0</v>
      </c>
      <c r="H56" s="170"/>
      <c r="I56" s="170"/>
      <c r="J56" s="170"/>
      <c r="K56" s="170"/>
      <c r="L56" s="78">
        <f>G56/7296</f>
        <v>0</v>
      </c>
      <c r="M56" s="32" t="e">
        <f t="shared" si="1"/>
        <v>#DIV/0!</v>
      </c>
      <c r="N56" s="175"/>
    </row>
    <row r="57" spans="1:14" s="6" customFormat="1" ht="24.75" customHeight="1">
      <c r="A57" s="18"/>
      <c r="B57" s="119" t="s">
        <v>131</v>
      </c>
      <c r="C57" s="120"/>
      <c r="D57" s="120"/>
      <c r="E57" s="120"/>
      <c r="F57" s="120"/>
      <c r="G57" s="298">
        <f>' (смета)'!G61+' (смета) (2)'!G58+' (смета) (3)'!G59+' (смета) (4)'!G57+' (смета) (5)'!G57+' (смета) (6)'!G57</f>
        <v>342892</v>
      </c>
      <c r="H57" s="153">
        <f>H64+H58</f>
        <v>37636</v>
      </c>
      <c r="I57" s="153">
        <f>I64+I58</f>
        <v>112907</v>
      </c>
      <c r="J57" s="153">
        <f>J64+J58</f>
        <v>112907</v>
      </c>
      <c r="K57" s="153">
        <f>K64+K58</f>
        <v>79442</v>
      </c>
      <c r="L57" s="79" t="e">
        <f>L64+L58</f>
        <v>#DIV/0!</v>
      </c>
      <c r="M57" s="32" t="e">
        <f t="shared" si="1"/>
        <v>#DIV/0!</v>
      </c>
      <c r="N57" s="179">
        <f>G57/G19</f>
        <v>0.237</v>
      </c>
    </row>
    <row r="58" spans="2:14" s="5" customFormat="1" ht="17.25" customHeight="1">
      <c r="B58" s="3" t="s">
        <v>108</v>
      </c>
      <c r="C58" s="80"/>
      <c r="D58" s="80"/>
      <c r="E58" s="80"/>
      <c r="F58" s="80"/>
      <c r="G58" s="150">
        <f>' (смета)'!G62+' (смета) (2)'!G59+' (смета) (3)'!G60+' (смета) (4)'!G58+' (смета) (5)'!G58+' (смета) (6)'!G58</f>
        <v>342892</v>
      </c>
      <c r="H58" s="171">
        <f>H59</f>
        <v>37636</v>
      </c>
      <c r="I58" s="171">
        <f>I59</f>
        <v>112907</v>
      </c>
      <c r="J58" s="171">
        <f>J59</f>
        <v>112907</v>
      </c>
      <c r="K58" s="171">
        <f>K59</f>
        <v>79442</v>
      </c>
      <c r="L58" s="81" t="e">
        <f>M58</f>
        <v>#DIV/0!</v>
      </c>
      <c r="M58" s="32" t="e">
        <f t="shared" si="1"/>
        <v>#DIV/0!</v>
      </c>
      <c r="N58" s="176"/>
    </row>
    <row r="59" spans="2:15" s="67" customFormat="1" ht="17.25" customHeight="1">
      <c r="B59" s="39" t="s">
        <v>54</v>
      </c>
      <c r="C59" s="37"/>
      <c r="D59" s="37"/>
      <c r="E59" s="37"/>
      <c r="F59" s="37"/>
      <c r="G59" s="150">
        <f>' (смета)'!G63+' (смета) (2)'!G60+' (смета) (3)'!G61+' (смета) (4)'!G59+' (смета) (5)'!G59+' (смета) (6)'!G59</f>
        <v>342892</v>
      </c>
      <c r="H59" s="27">
        <f>H19*23.7%</f>
        <v>37636</v>
      </c>
      <c r="I59" s="27">
        <f>I19*23.7%</f>
        <v>112907</v>
      </c>
      <c r="J59" s="27">
        <f>J19*23.7%</f>
        <v>112907</v>
      </c>
      <c r="K59" s="27">
        <f>K19*23.7%</f>
        <v>79442</v>
      </c>
      <c r="L59" s="81" t="e">
        <f>G59/$N$9</f>
        <v>#DIV/0!</v>
      </c>
      <c r="M59" s="32" t="e">
        <f t="shared" si="1"/>
        <v>#DIV/0!</v>
      </c>
      <c r="N59" s="176"/>
      <c r="O59" s="5"/>
    </row>
    <row r="60" spans="2:15" s="67" customFormat="1" ht="17.25" customHeight="1" hidden="1">
      <c r="B60" s="39" t="s">
        <v>18</v>
      </c>
      <c r="C60" s="37"/>
      <c r="D60" s="37"/>
      <c r="E60" s="37"/>
      <c r="F60" s="37"/>
      <c r="G60" s="27">
        <f aca="true" t="shared" si="2" ref="G60:G75">SUM(H60:K60)</f>
        <v>0</v>
      </c>
      <c r="H60" s="27"/>
      <c r="I60" s="27"/>
      <c r="J60" s="27"/>
      <c r="K60" s="27"/>
      <c r="L60" s="82" t="e">
        <f>G60/$N$9</f>
        <v>#DIV/0!</v>
      </c>
      <c r="M60" s="32" t="e">
        <f t="shared" si="1"/>
        <v>#DIV/0!</v>
      </c>
      <c r="N60" s="176"/>
      <c r="O60" s="5"/>
    </row>
    <row r="61" spans="2:15" s="67" customFormat="1" ht="17.25" customHeight="1" hidden="1">
      <c r="B61" s="60" t="s">
        <v>96</v>
      </c>
      <c r="C61" s="65"/>
      <c r="D61" s="65"/>
      <c r="E61" s="65"/>
      <c r="F61" s="65"/>
      <c r="G61" s="27">
        <f t="shared" si="2"/>
        <v>0</v>
      </c>
      <c r="H61" s="27"/>
      <c r="I61" s="27"/>
      <c r="J61" s="27"/>
      <c r="K61" s="27"/>
      <c r="L61" s="82"/>
      <c r="M61" s="32"/>
      <c r="N61" s="176"/>
      <c r="O61" s="5"/>
    </row>
    <row r="62" spans="2:15" s="47" customFormat="1" ht="17.25" customHeight="1" hidden="1">
      <c r="B62" s="60" t="s">
        <v>51</v>
      </c>
      <c r="C62" s="65"/>
      <c r="D62" s="65"/>
      <c r="E62" s="65"/>
      <c r="F62" s="65"/>
      <c r="G62" s="27">
        <f t="shared" si="2"/>
        <v>0</v>
      </c>
      <c r="H62" s="27"/>
      <c r="I62" s="27"/>
      <c r="J62" s="27"/>
      <c r="K62" s="27"/>
      <c r="L62" s="82" t="e">
        <f>M62</f>
        <v>#DIV/0!</v>
      </c>
      <c r="M62" s="32" t="e">
        <f t="shared" si="1"/>
        <v>#DIV/0!</v>
      </c>
      <c r="N62" s="175"/>
      <c r="O62" s="6"/>
    </row>
    <row r="63" spans="2:15" s="47" customFormat="1" ht="17.25" customHeight="1" hidden="1">
      <c r="B63" s="39" t="s">
        <v>53</v>
      </c>
      <c r="C63" s="37"/>
      <c r="D63" s="37"/>
      <c r="E63" s="37"/>
      <c r="F63" s="37"/>
      <c r="G63" s="27">
        <f t="shared" si="2"/>
        <v>0</v>
      </c>
      <c r="H63" s="27"/>
      <c r="I63" s="27"/>
      <c r="J63" s="27"/>
      <c r="K63" s="27"/>
      <c r="L63" s="82" t="e">
        <f>G63/$N$9</f>
        <v>#DIV/0!</v>
      </c>
      <c r="M63" s="32" t="e">
        <f t="shared" si="1"/>
        <v>#DIV/0!</v>
      </c>
      <c r="N63" s="175"/>
      <c r="O63" s="6"/>
    </row>
    <row r="64" spans="2:15" s="44" customFormat="1" ht="16.5" customHeight="1" hidden="1">
      <c r="B64" s="2" t="s">
        <v>107</v>
      </c>
      <c r="C64" s="105"/>
      <c r="D64" s="105"/>
      <c r="E64" s="105"/>
      <c r="F64" s="105"/>
      <c r="G64" s="27">
        <f t="shared" si="2"/>
        <v>0</v>
      </c>
      <c r="H64" s="27"/>
      <c r="I64" s="27"/>
      <c r="J64" s="27"/>
      <c r="K64" s="27"/>
      <c r="L64" s="81" t="e">
        <f>L66+L67+L68</f>
        <v>#DIV/0!</v>
      </c>
      <c r="M64" s="32" t="e">
        <f t="shared" si="1"/>
        <v>#DIV/0!</v>
      </c>
      <c r="N64" s="176"/>
      <c r="O64" s="5"/>
    </row>
    <row r="65" spans="2:15" s="67" customFormat="1" ht="15" customHeight="1" hidden="1">
      <c r="B65" s="39" t="s">
        <v>19</v>
      </c>
      <c r="C65" s="83"/>
      <c r="D65" s="83"/>
      <c r="E65" s="83"/>
      <c r="F65" s="83"/>
      <c r="G65" s="27">
        <f t="shared" si="2"/>
        <v>0</v>
      </c>
      <c r="H65" s="27"/>
      <c r="I65" s="27"/>
      <c r="J65" s="27"/>
      <c r="K65" s="27"/>
      <c r="L65" s="82" t="e">
        <f>G65/$N$9</f>
        <v>#DIV/0!</v>
      </c>
      <c r="M65" s="32" t="e">
        <f t="shared" si="1"/>
        <v>#DIV/0!</v>
      </c>
      <c r="N65" s="176"/>
      <c r="O65" s="5"/>
    </row>
    <row r="66" spans="2:15" s="67" customFormat="1" ht="15" customHeight="1" hidden="1">
      <c r="B66" s="39" t="s">
        <v>20</v>
      </c>
      <c r="C66" s="37"/>
      <c r="D66" s="37"/>
      <c r="E66" s="37"/>
      <c r="F66" s="37"/>
      <c r="G66" s="27">
        <f t="shared" si="2"/>
        <v>0</v>
      </c>
      <c r="H66" s="27"/>
      <c r="I66" s="27"/>
      <c r="J66" s="27"/>
      <c r="K66" s="27"/>
      <c r="L66" s="82" t="e">
        <f>G66/$N$9</f>
        <v>#DIV/0!</v>
      </c>
      <c r="M66" s="32" t="e">
        <f t="shared" si="1"/>
        <v>#DIV/0!</v>
      </c>
      <c r="N66" s="176"/>
      <c r="O66" s="5"/>
    </row>
    <row r="67" spans="2:15" s="47" customFormat="1" ht="15" customHeight="1" hidden="1">
      <c r="B67" s="39" t="s">
        <v>21</v>
      </c>
      <c r="C67" s="37"/>
      <c r="D67" s="37"/>
      <c r="E67" s="37"/>
      <c r="F67" s="37"/>
      <c r="G67" s="27">
        <f t="shared" si="2"/>
        <v>0</v>
      </c>
      <c r="H67" s="27"/>
      <c r="I67" s="27"/>
      <c r="J67" s="27"/>
      <c r="K67" s="27"/>
      <c r="L67" s="82" t="e">
        <f>G67/$N$9</f>
        <v>#DIV/0!</v>
      </c>
      <c r="M67" s="32" t="e">
        <f t="shared" si="1"/>
        <v>#DIV/0!</v>
      </c>
      <c r="N67" s="175"/>
      <c r="O67" s="6"/>
    </row>
    <row r="68" spans="2:15" s="47" customFormat="1" ht="15" customHeight="1" hidden="1">
      <c r="B68" s="39" t="s">
        <v>22</v>
      </c>
      <c r="C68" s="37"/>
      <c r="D68" s="37"/>
      <c r="E68" s="37"/>
      <c r="F68" s="37"/>
      <c r="G68" s="27">
        <f t="shared" si="2"/>
        <v>0</v>
      </c>
      <c r="H68" s="27">
        <f>SUM(H69:H74)</f>
        <v>0</v>
      </c>
      <c r="I68" s="27">
        <f>SUM(I69:I74)</f>
        <v>0</v>
      </c>
      <c r="J68" s="27">
        <f>SUM(J69:J74)</f>
        <v>0</v>
      </c>
      <c r="K68" s="27">
        <f>SUM(K69:K74)</f>
        <v>0</v>
      </c>
      <c r="L68" s="76" t="e">
        <f>SUM(L69:L74)</f>
        <v>#DIV/0!</v>
      </c>
      <c r="M68" s="32" t="e">
        <f t="shared" si="1"/>
        <v>#DIV/0!</v>
      </c>
      <c r="N68" s="175"/>
      <c r="O68" s="6"/>
    </row>
    <row r="69" spans="2:15" s="47" customFormat="1" ht="15" customHeight="1" hidden="1">
      <c r="B69" s="122" t="s">
        <v>23</v>
      </c>
      <c r="C69" s="123"/>
      <c r="D69" s="123"/>
      <c r="E69" s="123"/>
      <c r="F69" s="124"/>
      <c r="G69" s="27">
        <f t="shared" si="2"/>
        <v>0</v>
      </c>
      <c r="H69" s="27"/>
      <c r="I69" s="27"/>
      <c r="J69" s="27"/>
      <c r="K69" s="27"/>
      <c r="L69" s="70" t="e">
        <f aca="true" t="shared" si="3" ref="L69:L74">M69</f>
        <v>#DIV/0!</v>
      </c>
      <c r="M69" s="32" t="e">
        <f t="shared" si="1"/>
        <v>#DIV/0!</v>
      </c>
      <c r="N69" s="175"/>
      <c r="O69" s="6"/>
    </row>
    <row r="70" spans="2:15" s="47" customFormat="1" ht="16.5" customHeight="1" hidden="1">
      <c r="B70" s="60" t="s">
        <v>24</v>
      </c>
      <c r="C70" s="65"/>
      <c r="D70" s="65"/>
      <c r="E70" s="65"/>
      <c r="F70" s="86"/>
      <c r="G70" s="166">
        <f t="shared" si="2"/>
        <v>0</v>
      </c>
      <c r="H70" s="27"/>
      <c r="I70" s="27"/>
      <c r="J70" s="27"/>
      <c r="K70" s="27"/>
      <c r="L70" s="43" t="e">
        <f t="shared" si="3"/>
        <v>#DIV/0!</v>
      </c>
      <c r="M70" s="32" t="e">
        <f t="shared" si="1"/>
        <v>#DIV/0!</v>
      </c>
      <c r="N70" s="175"/>
      <c r="O70" s="6"/>
    </row>
    <row r="71" spans="2:15" s="47" customFormat="1" ht="15" customHeight="1" hidden="1">
      <c r="B71" s="60" t="s">
        <v>25</v>
      </c>
      <c r="C71" s="65"/>
      <c r="D71" s="65"/>
      <c r="E71" s="65"/>
      <c r="F71" s="86"/>
      <c r="G71" s="27">
        <f>+H71+I71+J71+K71</f>
        <v>0</v>
      </c>
      <c r="H71" s="27"/>
      <c r="I71" s="27"/>
      <c r="J71" s="27"/>
      <c r="K71" s="27"/>
      <c r="L71" s="87" t="e">
        <f>L19-L70-L25</f>
        <v>#DIV/0!</v>
      </c>
      <c r="M71" s="8" t="e">
        <f>G74/$N$9</f>
        <v>#DIV/0!</v>
      </c>
      <c r="N71" s="175"/>
      <c r="O71" s="6"/>
    </row>
    <row r="72" spans="2:15" s="47" customFormat="1" ht="15" customHeight="1" hidden="1">
      <c r="B72" s="39" t="s">
        <v>98</v>
      </c>
      <c r="C72" s="37"/>
      <c r="D72" s="37"/>
      <c r="E72" s="37"/>
      <c r="F72" s="84"/>
      <c r="G72" s="27">
        <f t="shared" si="2"/>
        <v>0</v>
      </c>
      <c r="H72" s="27"/>
      <c r="I72" s="27"/>
      <c r="J72" s="27"/>
      <c r="K72" s="27"/>
      <c r="L72" s="82" t="e">
        <f t="shared" si="3"/>
        <v>#DIV/0!</v>
      </c>
      <c r="M72" s="8" t="e">
        <f t="shared" si="1"/>
        <v>#DIV/0!</v>
      </c>
      <c r="N72" s="175"/>
      <c r="O72" s="6"/>
    </row>
    <row r="73" spans="2:15" s="47" customFormat="1" ht="15" customHeight="1" hidden="1">
      <c r="B73" s="39" t="s">
        <v>52</v>
      </c>
      <c r="C73" s="37"/>
      <c r="D73" s="37"/>
      <c r="E73" s="37"/>
      <c r="F73" s="84"/>
      <c r="G73" s="27">
        <f t="shared" si="2"/>
        <v>0</v>
      </c>
      <c r="H73" s="27"/>
      <c r="I73" s="27"/>
      <c r="J73" s="27"/>
      <c r="K73" s="27"/>
      <c r="L73" s="46">
        <f t="shared" si="3"/>
        <v>0</v>
      </c>
      <c r="M73" s="8"/>
      <c r="N73" s="175"/>
      <c r="O73" s="6"/>
    </row>
    <row r="74" spans="2:15" s="47" customFormat="1" ht="15" customHeight="1" hidden="1">
      <c r="B74" s="39" t="s">
        <v>26</v>
      </c>
      <c r="C74" s="37"/>
      <c r="D74" s="37"/>
      <c r="E74" s="37"/>
      <c r="F74" s="84"/>
      <c r="G74" s="27">
        <f>SUM(H74:K74)</f>
        <v>0</v>
      </c>
      <c r="H74" s="27"/>
      <c r="I74" s="27"/>
      <c r="J74" s="27"/>
      <c r="K74" s="27"/>
      <c r="L74" s="82">
        <f t="shared" si="3"/>
        <v>0</v>
      </c>
      <c r="M74" s="8"/>
      <c r="N74" s="175"/>
      <c r="O74" s="6"/>
    </row>
    <row r="75" spans="2:15" s="50" customFormat="1" ht="15" customHeight="1" hidden="1">
      <c r="B75" s="1" t="s">
        <v>27</v>
      </c>
      <c r="C75" s="72"/>
      <c r="D75" s="72"/>
      <c r="E75" s="72"/>
      <c r="F75" s="72"/>
      <c r="G75" s="27">
        <f t="shared" si="2"/>
        <v>0</v>
      </c>
      <c r="H75" s="27"/>
      <c r="I75" s="27"/>
      <c r="J75" s="27"/>
      <c r="K75" s="27"/>
      <c r="L75" s="46">
        <f>G75/7296</f>
        <v>0</v>
      </c>
      <c r="M75" s="8">
        <f>G75/7296</f>
        <v>0</v>
      </c>
      <c r="N75" s="180"/>
      <c r="O75" s="54"/>
    </row>
    <row r="76" spans="2:12" ht="36.75" customHeight="1">
      <c r="B76" s="225" t="s">
        <v>156</v>
      </c>
      <c r="C76" s="225"/>
      <c r="D76" s="225"/>
      <c r="E76" s="227"/>
      <c r="F76" s="225" t="s">
        <v>157</v>
      </c>
      <c r="G76" s="226"/>
      <c r="H76" s="7"/>
      <c r="I76" s="89"/>
      <c r="J76" s="7"/>
      <c r="K76" s="7"/>
      <c r="L76" s="90"/>
    </row>
    <row r="77" spans="2:12" ht="24.75" customHeight="1">
      <c r="B77" s="6" t="s">
        <v>144</v>
      </c>
      <c r="C77" s="6"/>
      <c r="D77" s="6"/>
      <c r="E77" s="125"/>
      <c r="F77" s="144" t="s">
        <v>158</v>
      </c>
      <c r="G77" s="143"/>
      <c r="H77" s="7"/>
      <c r="I77" s="7"/>
      <c r="J77" s="7"/>
      <c r="K77" s="7"/>
      <c r="L77" s="92" t="e">
        <f>L19-L21-L26-L27-L28-L41-L42-L47-L53-L57</f>
        <v>#DIV/0!</v>
      </c>
    </row>
    <row r="78" spans="2:12" ht="24.75" customHeight="1">
      <c r="B78" s="6"/>
      <c r="C78" s="6"/>
      <c r="D78" s="6"/>
      <c r="E78" s="6"/>
      <c r="F78" s="6"/>
      <c r="G78" s="7"/>
      <c r="H78" s="7"/>
      <c r="I78" s="7"/>
      <c r="J78" s="7"/>
      <c r="K78" s="93"/>
      <c r="L78" s="92"/>
    </row>
    <row r="79" spans="2:12" ht="24.75" customHeight="1" hidden="1">
      <c r="B79" s="6"/>
      <c r="C79" s="6"/>
      <c r="D79" s="6"/>
      <c r="E79" s="6"/>
      <c r="F79" s="6"/>
      <c r="G79" s="7"/>
      <c r="H79" s="7"/>
      <c r="I79" s="7"/>
      <c r="J79" s="7"/>
      <c r="K79" s="93"/>
      <c r="L79" s="92"/>
    </row>
    <row r="80" spans="2:11" ht="18.75" customHeight="1">
      <c r="B80" s="6"/>
      <c r="C80" s="6"/>
      <c r="D80" s="6"/>
      <c r="E80" s="18"/>
      <c r="F80" s="202"/>
      <c r="H80" s="202"/>
      <c r="I80" s="94"/>
      <c r="J80" s="7"/>
      <c r="K80" s="7"/>
    </row>
    <row r="81" spans="9:11" ht="12.75" customHeight="1">
      <c r="I81" s="94"/>
      <c r="J81" s="7"/>
      <c r="K81" s="7"/>
    </row>
    <row r="82" spans="9:11" ht="18.75" customHeight="1">
      <c r="I82" s="94"/>
      <c r="J82" s="7"/>
      <c r="K82" s="7"/>
    </row>
    <row r="83" spans="9:13" ht="12.75" customHeight="1">
      <c r="I83" s="94"/>
      <c r="L83" s="95" t="e">
        <f>L21+L26+L28+L42+L47+L53+L57+L27+L23</f>
        <v>#DIV/0!</v>
      </c>
      <c r="M83" s="96" t="e">
        <f>M21+M26+M28+M42+M47+M53+M57+M27+M23</f>
        <v>#DIV/0!</v>
      </c>
    </row>
    <row r="84" ht="12.75" customHeight="1">
      <c r="I84" s="94"/>
    </row>
    <row r="85" spans="3:12" ht="12.75" customHeight="1">
      <c r="C85" s="97"/>
      <c r="L85" s="98"/>
    </row>
    <row r="86" ht="12.75" customHeight="1">
      <c r="I86" s="94"/>
    </row>
    <row r="87" ht="12.75" customHeight="1">
      <c r="I87" s="94"/>
    </row>
    <row r="88" ht="12.75" customHeight="1">
      <c r="I88" s="94"/>
    </row>
    <row r="89" ht="12.75" customHeight="1">
      <c r="I89" s="94"/>
    </row>
    <row r="90" ht="12.75" customHeight="1">
      <c r="I90" s="94"/>
    </row>
    <row r="91" ht="12.75" customHeight="1">
      <c r="I91" s="94"/>
    </row>
    <row r="92" ht="12.75" customHeight="1">
      <c r="I92" s="94"/>
    </row>
    <row r="93" ht="12.75" customHeight="1">
      <c r="I93" s="94"/>
    </row>
  </sheetData>
  <sheetProtection/>
  <mergeCells count="7">
    <mergeCell ref="B48:D48"/>
    <mergeCell ref="B2:K2"/>
    <mergeCell ref="B3:K3"/>
    <mergeCell ref="P3:S3"/>
    <mergeCell ref="H17:I17"/>
    <mergeCell ref="J17:K17"/>
    <mergeCell ref="N17:N18"/>
  </mergeCells>
  <printOptions/>
  <pageMargins left="0.5905511811023623" right="0.1968503937007874" top="0.17" bottom="0.16" header="0" footer="0"/>
  <pageSetup fitToHeight="1" fitToWidth="1"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F43" sqref="F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L22"/>
  <sheetViews>
    <sheetView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2.375" style="6" customWidth="1"/>
    <col min="2" max="2" width="7.875" style="6" customWidth="1"/>
    <col min="3" max="3" width="53.75390625" style="6" customWidth="1"/>
    <col min="4" max="4" width="17.875" style="6" hidden="1" customWidth="1"/>
    <col min="5" max="5" width="15.25390625" style="6" hidden="1" customWidth="1"/>
    <col min="6" max="6" width="9.125" style="6" hidden="1" customWidth="1"/>
    <col min="7" max="7" width="9.875" style="6" hidden="1" customWidth="1"/>
    <col min="8" max="8" width="9.375" style="6" hidden="1" customWidth="1"/>
    <col min="9" max="9" width="9.125" style="6" hidden="1" customWidth="1"/>
    <col min="10" max="10" width="18.375" style="6" customWidth="1"/>
    <col min="11" max="11" width="14.875" style="6" bestFit="1" customWidth="1"/>
    <col min="12" max="16384" width="9.125" style="6" customWidth="1"/>
  </cols>
  <sheetData>
    <row r="1" ht="15.75"/>
    <row r="2" spans="2:5" ht="15.75">
      <c r="B2" s="316" t="str">
        <f>' (смета) (6)'!C4</f>
        <v>Муниципальное бюджетное образовательное учреждение  дополнительного образования        </v>
      </c>
      <c r="C2" s="316"/>
      <c r="D2" s="316"/>
      <c r="E2" s="134"/>
    </row>
    <row r="3" spans="2:5" ht="15.75">
      <c r="B3" s="317" t="str">
        <f>' (смета) (6)'!C5</f>
        <v>"Центр дополнительного образования детей им.В.Волошиной"</v>
      </c>
      <c r="C3" s="317"/>
      <c r="D3" s="317"/>
      <c r="E3" s="134"/>
    </row>
    <row r="4" ht="15.75">
      <c r="C4" s="173"/>
    </row>
    <row r="5" spans="2:5" ht="15.75">
      <c r="B5" s="318" t="s">
        <v>152</v>
      </c>
      <c r="C5" s="318"/>
      <c r="D5" s="318"/>
      <c r="E5" s="200"/>
    </row>
    <row r="6" spans="2:5" ht="15.75">
      <c r="B6" s="200"/>
      <c r="C6" s="200"/>
      <c r="D6" s="200"/>
      <c r="E6" s="200"/>
    </row>
    <row r="7" spans="2:5" ht="15.75" customHeight="1">
      <c r="B7" s="271"/>
      <c r="C7" s="271" t="s">
        <v>212</v>
      </c>
      <c r="D7" s="271"/>
      <c r="E7" s="134"/>
    </row>
    <row r="8" spans="2:5" s="5" customFormat="1" ht="15.75">
      <c r="B8" s="287"/>
      <c r="C8" s="287"/>
      <c r="D8" s="287"/>
      <c r="E8" s="222"/>
    </row>
    <row r="9" spans="2:5" s="5" customFormat="1" ht="15.75">
      <c r="B9" s="287"/>
      <c r="C9" s="287"/>
      <c r="D9" s="287"/>
      <c r="E9" s="222"/>
    </row>
    <row r="10" spans="2:10" ht="33" customHeight="1">
      <c r="B10" s="215" t="s">
        <v>110</v>
      </c>
      <c r="C10" s="127" t="s">
        <v>111</v>
      </c>
      <c r="D10" s="127" t="s">
        <v>112</v>
      </c>
      <c r="E10" s="127" t="s">
        <v>112</v>
      </c>
      <c r="F10" s="211" t="s">
        <v>112</v>
      </c>
      <c r="G10" s="211" t="s">
        <v>112</v>
      </c>
      <c r="H10" s="130" t="s">
        <v>112</v>
      </c>
      <c r="I10" s="130" t="s">
        <v>112</v>
      </c>
      <c r="J10" s="130"/>
    </row>
    <row r="11" spans="2:11" ht="23.25" customHeight="1">
      <c r="B11" s="127">
        <v>1</v>
      </c>
      <c r="C11" s="216" t="s">
        <v>113</v>
      </c>
      <c r="D11" s="293">
        <f>'резерв отпускных'!D10+'резерв отпускных (2)'!D10+'резерв отпускных (3)'!D10+'резерв отпускных (4)'!D11+'резерв отпускных (5)'!D10+'резерв отпускных (6)'!D11</f>
        <v>79643.64</v>
      </c>
      <c r="E11" s="294">
        <v>157461.29</v>
      </c>
      <c r="F11" s="132">
        <v>6644.07</v>
      </c>
      <c r="G11" s="132">
        <v>46816</v>
      </c>
      <c r="H11" s="130"/>
      <c r="I11" s="130"/>
      <c r="J11" s="295">
        <f>SUM(D11:I11)</f>
        <v>290565</v>
      </c>
      <c r="K11" s="296"/>
    </row>
    <row r="12" spans="2:10" ht="33" customHeight="1">
      <c r="B12" s="127">
        <v>2</v>
      </c>
      <c r="C12" s="219" t="s">
        <v>116</v>
      </c>
      <c r="D12" s="293">
        <f>'резерв отпускных'!D11+'резерв отпускных (2)'!D11+'резерв отпускных (3)'!D11+'резерв отпускных (4)'!D12+'резерв отпускных (5)'!D11+'резерв отпускных (6)'!D12</f>
        <v>24050.38</v>
      </c>
      <c r="E12" s="136">
        <v>47553.31</v>
      </c>
      <c r="F12" s="130">
        <v>2006.51</v>
      </c>
      <c r="G12" s="130">
        <v>14138.44</v>
      </c>
      <c r="H12" s="130"/>
      <c r="I12" s="130"/>
      <c r="J12" s="295">
        <f aca="true" t="shared" si="0" ref="J12:J17">SUM(D12:I12)</f>
        <v>87748.64</v>
      </c>
    </row>
    <row r="13" spans="2:10" ht="33" customHeight="1" hidden="1">
      <c r="B13" s="127">
        <v>3</v>
      </c>
      <c r="C13" s="219" t="s">
        <v>117</v>
      </c>
      <c r="D13" s="293">
        <f>'резерв отпускных'!D12+'резерв отпускных (2)'!D12+'резерв отпускных (3)'!D12+'резерв отпускных (4)'!D13+'резерв отпускных (5)'!D12+'резерв отпускных (6)'!D13</f>
        <v>0</v>
      </c>
      <c r="E13" s="136"/>
      <c r="F13" s="130"/>
      <c r="G13" s="130">
        <v>0</v>
      </c>
      <c r="H13" s="130"/>
      <c r="I13" s="130"/>
      <c r="J13" s="295">
        <f t="shared" si="0"/>
        <v>0</v>
      </c>
    </row>
    <row r="14" spans="2:10" ht="54" customHeight="1">
      <c r="B14" s="127">
        <v>3</v>
      </c>
      <c r="C14" s="219" t="s">
        <v>118</v>
      </c>
      <c r="D14" s="293">
        <f>'резерв отпускных'!D13+'резерв отпускных (2)'!D13+'резерв отпускных (3)'!D13+'резерв отпускных (4)'!D14+'резерв отпускных (5)'!D13+'резерв отпускных (6)'!D14</f>
        <v>103694.02</v>
      </c>
      <c r="E14" s="136">
        <v>205014.61</v>
      </c>
      <c r="F14" s="130">
        <v>8650.58</v>
      </c>
      <c r="G14" s="130">
        <v>60954.44</v>
      </c>
      <c r="H14" s="130"/>
      <c r="I14" s="130"/>
      <c r="J14" s="295">
        <f t="shared" si="0"/>
        <v>378313.65</v>
      </c>
    </row>
    <row r="15" spans="2:10" ht="33" customHeight="1">
      <c r="B15" s="127">
        <v>4</v>
      </c>
      <c r="C15" s="219" t="s">
        <v>114</v>
      </c>
      <c r="D15" s="293">
        <f>'резерв отпускных'!D14+'резерв отпускных (2)'!D14+'резерв отпускных (3)'!D14+'резерв отпускных (4)'!D15+'резерв отпускных (5)'!D14+'резерв отпускных (6)'!D15</f>
        <v>587087.36</v>
      </c>
      <c r="E15" s="294">
        <v>1160714.35</v>
      </c>
      <c r="F15" s="130">
        <v>48976.28</v>
      </c>
      <c r="G15" s="130">
        <v>345100.82</v>
      </c>
      <c r="H15" s="130"/>
      <c r="I15" s="130"/>
      <c r="J15" s="295">
        <f t="shared" si="0"/>
        <v>2141878.81</v>
      </c>
    </row>
    <row r="16" spans="2:12" ht="33" customHeight="1">
      <c r="B16" s="127">
        <v>5</v>
      </c>
      <c r="C16" s="219" t="s">
        <v>119</v>
      </c>
      <c r="D16" s="293">
        <f>'резерв отпускных'!D15+'резерв отпускных (2)'!D15+'резерв отпускных (3)'!D15+'резерв отпускных (4)'!D16+'резерв отпускных (5)'!D15+'резерв отпускных (6)'!D16</f>
        <v>177297.38</v>
      </c>
      <c r="E16" s="136">
        <v>350535.75</v>
      </c>
      <c r="F16" s="130">
        <v>14790.84</v>
      </c>
      <c r="G16" s="130">
        <v>104220.45</v>
      </c>
      <c r="H16" s="130"/>
      <c r="I16" s="130"/>
      <c r="J16" s="295">
        <f t="shared" si="0"/>
        <v>646844.42</v>
      </c>
      <c r="K16" s="296"/>
      <c r="L16" s="296"/>
    </row>
    <row r="17" spans="2:10" ht="33" customHeight="1">
      <c r="B17" s="127">
        <v>6</v>
      </c>
      <c r="C17" s="219" t="s">
        <v>120</v>
      </c>
      <c r="D17" s="293">
        <f>'резерв отпускных'!D16+'резерв отпускных (2)'!D16+'резерв отпускных (3)'!D16+'резерв отпускных (4)'!D17+'резерв отпускных (5)'!D16+'резерв отпускных (6)'!D17</f>
        <v>764384.74</v>
      </c>
      <c r="E17" s="136">
        <v>1511250.1</v>
      </c>
      <c r="F17" s="130">
        <v>63767.12</v>
      </c>
      <c r="G17" s="130">
        <v>449321.27</v>
      </c>
      <c r="H17" s="130"/>
      <c r="I17" s="130"/>
      <c r="J17" s="295">
        <f t="shared" si="0"/>
        <v>2788723.23</v>
      </c>
    </row>
    <row r="18" spans="2:10" ht="33" customHeight="1">
      <c r="B18" s="127">
        <v>7</v>
      </c>
      <c r="C18" s="219" t="s">
        <v>121</v>
      </c>
      <c r="D18" s="303">
        <f aca="true" t="shared" si="1" ref="D18:I18">D14/D17</f>
        <v>0.1357</v>
      </c>
      <c r="E18" s="303">
        <f t="shared" si="1"/>
        <v>0.1357</v>
      </c>
      <c r="F18" s="303">
        <f t="shared" si="1"/>
        <v>0.1357</v>
      </c>
      <c r="G18" s="303">
        <f t="shared" si="1"/>
        <v>0.1357</v>
      </c>
      <c r="H18" s="303" t="e">
        <f t="shared" si="1"/>
        <v>#DIV/0!</v>
      </c>
      <c r="I18" s="303" t="e">
        <f t="shared" si="1"/>
        <v>#DIV/0!</v>
      </c>
      <c r="J18" s="297">
        <v>0.1357</v>
      </c>
    </row>
    <row r="19" spans="2:10" ht="49.5" customHeight="1">
      <c r="B19" s="127">
        <v>8</v>
      </c>
      <c r="C19" s="219" t="s">
        <v>122</v>
      </c>
      <c r="D19" s="139" t="s">
        <v>115</v>
      </c>
      <c r="E19" s="139" t="s">
        <v>115</v>
      </c>
      <c r="F19" s="130" t="s">
        <v>115</v>
      </c>
      <c r="G19" s="130" t="s">
        <v>115</v>
      </c>
      <c r="H19" s="130" t="s">
        <v>115</v>
      </c>
      <c r="I19" s="130" t="s">
        <v>115</v>
      </c>
      <c r="J19" s="139" t="s">
        <v>115</v>
      </c>
    </row>
    <row r="22" ht="15.75">
      <c r="B22" s="6" t="s">
        <v>218</v>
      </c>
    </row>
  </sheetData>
  <sheetProtection/>
  <mergeCells count="3"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3"/>
  <sheetViews>
    <sheetView view="pageBreakPreview" zoomScale="90" zoomScaleSheetLayoutView="90" zoomScalePageLayoutView="0" workbookViewId="0" topLeftCell="A1">
      <selection activeCell="D45" sqref="D45"/>
    </sheetView>
  </sheetViews>
  <sheetFormatPr defaultColWidth="9.00390625" defaultRowHeight="12.75"/>
  <cols>
    <col min="1" max="1" width="2.375" style="88" customWidth="1"/>
    <col min="2" max="2" width="4.75390625" style="88" customWidth="1"/>
    <col min="3" max="3" width="44.25390625" style="88" customWidth="1"/>
    <col min="4" max="4" width="15.625" style="88" customWidth="1"/>
    <col min="5" max="5" width="13.375" style="88" hidden="1" customWidth="1"/>
    <col min="6" max="7" width="9.125" style="88" customWidth="1"/>
    <col min="8" max="8" width="11.625" style="88" customWidth="1"/>
    <col min="9" max="16384" width="9.125" style="88" customWidth="1"/>
  </cols>
  <sheetData>
    <row r="2" spans="2:7" ht="15.75">
      <c r="B2" s="6"/>
      <c r="C2" s="6"/>
      <c r="D2" s="6" t="s">
        <v>57</v>
      </c>
      <c r="E2" s="6"/>
      <c r="F2" s="6"/>
      <c r="G2" s="6"/>
    </row>
    <row r="3" spans="2:7" ht="48.75" customHeight="1">
      <c r="B3" s="6"/>
      <c r="C3" s="6"/>
      <c r="D3" s="319" t="str">
        <f>' (смета)'!C5</f>
        <v>"Центр дополнительного образования детей им.В.Волошиной"</v>
      </c>
      <c r="E3" s="319"/>
      <c r="F3" s="319"/>
      <c r="G3" s="319"/>
    </row>
    <row r="4" spans="2:7" ht="15.75">
      <c r="B4" s="6"/>
      <c r="C4" s="6"/>
      <c r="D4" s="125"/>
      <c r="E4" s="6"/>
      <c r="F4" s="6" t="str">
        <f>' (смета)'!F80</f>
        <v> И.П. Чередова</v>
      </c>
      <c r="G4" s="6"/>
    </row>
    <row r="5" spans="2:7" ht="15.75">
      <c r="B5" s="6"/>
      <c r="C5" s="6"/>
      <c r="D5" s="6"/>
      <c r="E5" s="6"/>
      <c r="F5" s="6"/>
      <c r="G5" s="6"/>
    </row>
    <row r="6" spans="2:10" ht="15.75">
      <c r="B6" s="6"/>
      <c r="C6" s="6"/>
      <c r="D6" s="126" t="s">
        <v>221</v>
      </c>
      <c r="E6" s="126"/>
      <c r="F6" s="126"/>
      <c r="G6" s="6"/>
      <c r="H6" s="203"/>
      <c r="I6" s="204"/>
      <c r="J6" s="204"/>
    </row>
    <row r="7" spans="2:7" ht="15.75">
      <c r="B7" s="6"/>
      <c r="C7" s="6"/>
      <c r="D7" s="6"/>
      <c r="E7" s="6"/>
      <c r="F7" s="6"/>
      <c r="G7" s="6"/>
    </row>
    <row r="8" spans="2:7" ht="15.75">
      <c r="B8" s="322" t="s">
        <v>58</v>
      </c>
      <c r="C8" s="322"/>
      <c r="D8" s="322"/>
      <c r="E8" s="6"/>
      <c r="F8" s="6"/>
      <c r="G8" s="6"/>
    </row>
    <row r="9" spans="2:7" ht="15.75">
      <c r="B9" s="323" t="s">
        <v>134</v>
      </c>
      <c r="C9" s="323"/>
      <c r="D9" s="323"/>
      <c r="E9" s="175"/>
      <c r="F9" s="6"/>
      <c r="G9" s="6"/>
    </row>
    <row r="10" spans="2:7" ht="15.75">
      <c r="B10" s="175"/>
      <c r="C10" s="89" t="str">
        <f>' (смета)'!D8</f>
        <v>"Весёлый карандаш 6-8 лет"</v>
      </c>
      <c r="D10" s="175"/>
      <c r="E10" s="175"/>
      <c r="F10" s="6"/>
      <c r="G10" s="6"/>
    </row>
    <row r="11" spans="2:7" ht="15.75">
      <c r="B11" s="175"/>
      <c r="C11" s="175" t="str">
        <f>' (смета)'!B9</f>
        <v>По программе:</v>
      </c>
      <c r="D11" s="175"/>
      <c r="E11" s="175"/>
      <c r="F11" s="6"/>
      <c r="G11" s="6"/>
    </row>
    <row r="12" spans="2:7" ht="15.75">
      <c r="B12" s="89"/>
      <c r="C12" s="175" t="str">
        <f>' (смета)'!D9</f>
        <v>Весёлый карандаш </v>
      </c>
      <c r="D12" s="175"/>
      <c r="E12" s="175"/>
      <c r="F12" s="6"/>
      <c r="G12" s="6"/>
    </row>
    <row r="13" spans="2:7" ht="15.75">
      <c r="B13" s="324" t="str">
        <f>' (смета)'!B3:K3</f>
        <v>                 на  2023-2024 учебный год  (сентябрь -май)</v>
      </c>
      <c r="C13" s="324"/>
      <c r="D13" s="324"/>
      <c r="E13" s="324"/>
      <c r="F13" s="6"/>
      <c r="G13" s="6"/>
    </row>
    <row r="14" spans="2:5" ht="24.75" customHeight="1">
      <c r="B14" s="127" t="s">
        <v>59</v>
      </c>
      <c r="C14" s="127" t="s">
        <v>60</v>
      </c>
      <c r="D14" s="127" t="s">
        <v>93</v>
      </c>
      <c r="E14" s="205" t="s">
        <v>62</v>
      </c>
    </row>
    <row r="15" spans="2:5" ht="16.5" customHeight="1">
      <c r="B15" s="206">
        <v>1</v>
      </c>
      <c r="C15" s="207" t="s">
        <v>61</v>
      </c>
      <c r="D15" s="128">
        <f>SUM(D16:D25)</f>
        <v>45360</v>
      </c>
      <c r="E15" s="208">
        <f>SUM(E16:E24)</f>
        <v>0</v>
      </c>
    </row>
    <row r="16" spans="2:5" ht="15.75">
      <c r="B16" s="209" t="s">
        <v>63</v>
      </c>
      <c r="C16" s="130" t="s">
        <v>72</v>
      </c>
      <c r="D16" s="27">
        <f>'резерв отпускных'!D14</f>
        <v>30677</v>
      </c>
      <c r="E16" s="210"/>
    </row>
    <row r="17" spans="2:5" ht="15.75">
      <c r="B17" s="209" t="s">
        <v>64</v>
      </c>
      <c r="C17" s="130" t="s">
        <v>73</v>
      </c>
      <c r="D17" s="27">
        <f>'резерв отпускных'!D15</f>
        <v>9265</v>
      </c>
      <c r="E17" s="210"/>
    </row>
    <row r="18" spans="2:5" ht="15.75">
      <c r="B18" s="209" t="s">
        <v>65</v>
      </c>
      <c r="C18" s="130" t="s">
        <v>74</v>
      </c>
      <c r="D18" s="27">
        <f>'резерв отпускных'!D13</f>
        <v>5418</v>
      </c>
      <c r="E18" s="210"/>
    </row>
    <row r="19" spans="2:5" ht="15.75" hidden="1">
      <c r="B19" s="209" t="s">
        <v>66</v>
      </c>
      <c r="C19" s="130"/>
      <c r="D19" s="129"/>
      <c r="E19" s="210"/>
    </row>
    <row r="20" spans="2:5" ht="15.75" hidden="1">
      <c r="B20" s="209" t="s">
        <v>67</v>
      </c>
      <c r="C20" s="130"/>
      <c r="D20" s="129"/>
      <c r="E20" s="210"/>
    </row>
    <row r="21" spans="2:5" ht="15.75" hidden="1">
      <c r="B21" s="209" t="s">
        <v>68</v>
      </c>
      <c r="C21" s="130"/>
      <c r="D21" s="129"/>
      <c r="E21" s="210"/>
    </row>
    <row r="22" spans="2:5" ht="15.75" hidden="1">
      <c r="B22" s="209" t="s">
        <v>69</v>
      </c>
      <c r="C22" s="130"/>
      <c r="D22" s="129"/>
      <c r="E22" s="210"/>
    </row>
    <row r="23" spans="2:5" ht="25.5" customHeight="1" hidden="1">
      <c r="B23" s="209" t="s">
        <v>70</v>
      </c>
      <c r="C23" s="130"/>
      <c r="D23" s="130"/>
      <c r="E23" s="210"/>
    </row>
    <row r="24" spans="2:5" ht="15.75" hidden="1">
      <c r="B24" s="209" t="s">
        <v>71</v>
      </c>
      <c r="C24" s="130"/>
      <c r="D24" s="130"/>
      <c r="E24" s="210"/>
    </row>
    <row r="25" spans="2:5" ht="15.75" hidden="1">
      <c r="B25" s="211"/>
      <c r="C25" s="130"/>
      <c r="D25" s="129"/>
      <c r="E25" s="210"/>
    </row>
    <row r="26" spans="2:5" ht="15.75">
      <c r="B26" s="206">
        <v>2</v>
      </c>
      <c r="C26" s="207" t="s">
        <v>75</v>
      </c>
      <c r="D26" s="131">
        <f>D27+D38+D43+D44+D42+D41+D39+D40</f>
        <v>30240</v>
      </c>
      <c r="E26" s="208">
        <f>E27+E38+E41+E42+E43+E44</f>
        <v>0</v>
      </c>
    </row>
    <row r="27" spans="2:5" ht="31.5" hidden="1">
      <c r="B27" s="209" t="s">
        <v>76</v>
      </c>
      <c r="C27" s="212" t="s">
        <v>102</v>
      </c>
      <c r="D27" s="27">
        <f>D28+D37</f>
        <v>0</v>
      </c>
      <c r="E27" s="210">
        <f>E28+E37</f>
        <v>0</v>
      </c>
    </row>
    <row r="28" spans="2:5" ht="15.75" hidden="1">
      <c r="B28" s="209" t="s">
        <v>82</v>
      </c>
      <c r="C28" s="59" t="s">
        <v>72</v>
      </c>
      <c r="D28" s="27">
        <f>SUM(D29:D36)</f>
        <v>0</v>
      </c>
      <c r="E28" s="210">
        <f>SUM(E29:E36)</f>
        <v>0</v>
      </c>
    </row>
    <row r="29" spans="2:5" ht="15.75" hidden="1">
      <c r="B29" s="209"/>
      <c r="C29" s="59" t="s">
        <v>99</v>
      </c>
      <c r="D29" s="27"/>
      <c r="E29" s="210"/>
    </row>
    <row r="30" spans="2:5" ht="15.75" hidden="1">
      <c r="B30" s="209"/>
      <c r="C30" s="59" t="s">
        <v>86</v>
      </c>
      <c r="D30" s="129"/>
      <c r="E30" s="210"/>
    </row>
    <row r="31" spans="2:5" ht="15.75" hidden="1">
      <c r="B31" s="209"/>
      <c r="C31" s="59" t="s">
        <v>84</v>
      </c>
      <c r="D31" s="129"/>
      <c r="E31" s="210"/>
    </row>
    <row r="32" spans="2:5" ht="15.75" hidden="1">
      <c r="B32" s="209"/>
      <c r="C32" s="59" t="s">
        <v>85</v>
      </c>
      <c r="D32" s="129"/>
      <c r="E32" s="210"/>
    </row>
    <row r="33" spans="2:5" ht="15.75" hidden="1">
      <c r="B33" s="209"/>
      <c r="C33" s="59" t="s">
        <v>100</v>
      </c>
      <c r="D33" s="27">
        <f>+' (смета)'!G55/1.271</f>
        <v>0</v>
      </c>
      <c r="E33" s="210"/>
    </row>
    <row r="34" spans="2:5" ht="15.75" hidden="1">
      <c r="B34" s="209"/>
      <c r="C34" s="59" t="s">
        <v>87</v>
      </c>
      <c r="D34" s="129"/>
      <c r="E34" s="210"/>
    </row>
    <row r="35" spans="2:5" ht="15.75" hidden="1">
      <c r="B35" s="209"/>
      <c r="C35" s="59" t="s">
        <v>88</v>
      </c>
      <c r="D35" s="129"/>
      <c r="E35" s="210"/>
    </row>
    <row r="36" spans="2:5" ht="15.75" hidden="1">
      <c r="B36" s="209"/>
      <c r="C36" s="59" t="s">
        <v>89</v>
      </c>
      <c r="D36" s="129"/>
      <c r="E36" s="210"/>
    </row>
    <row r="37" spans="2:5" ht="15.75" hidden="1">
      <c r="B37" s="209" t="s">
        <v>83</v>
      </c>
      <c r="C37" s="59" t="s">
        <v>73</v>
      </c>
      <c r="D37" s="27">
        <f>D28*27.1%</f>
        <v>0</v>
      </c>
      <c r="E37" s="210">
        <f>E28*26.2%</f>
        <v>0</v>
      </c>
    </row>
    <row r="38" spans="2:5" ht="15.75">
      <c r="B38" s="209" t="s">
        <v>77</v>
      </c>
      <c r="C38" s="130" t="s">
        <v>90</v>
      </c>
      <c r="D38" s="27">
        <f>' (смета)'!G32</f>
        <v>7560</v>
      </c>
      <c r="E38" s="210"/>
    </row>
    <row r="39" spans="2:5" ht="31.5" customHeight="1">
      <c r="B39" s="213" t="s">
        <v>78</v>
      </c>
      <c r="C39" s="214" t="s">
        <v>104</v>
      </c>
      <c r="D39" s="27">
        <f>' (смета)'!G52</f>
        <v>3780</v>
      </c>
      <c r="E39" s="210"/>
    </row>
    <row r="40" spans="2:5" ht="16.5" customHeight="1">
      <c r="B40" s="213" t="s">
        <v>79</v>
      </c>
      <c r="C40" s="214" t="s">
        <v>135</v>
      </c>
      <c r="D40" s="27">
        <f>' (смета)'!G53</f>
        <v>983</v>
      </c>
      <c r="E40" s="210"/>
    </row>
    <row r="41" spans="2:5" ht="15.75">
      <c r="B41" s="209" t="s">
        <v>80</v>
      </c>
      <c r="C41" s="130" t="s">
        <v>97</v>
      </c>
      <c r="D41" s="27">
        <f>' (смета)'!G74</f>
        <v>0</v>
      </c>
      <c r="E41" s="210"/>
    </row>
    <row r="42" spans="2:5" ht="15.75">
      <c r="B42" s="209" t="s">
        <v>81</v>
      </c>
      <c r="C42" s="39" t="s">
        <v>136</v>
      </c>
      <c r="D42" s="132">
        <f>+' (смета)'!G75</f>
        <v>0</v>
      </c>
      <c r="E42" s="37"/>
    </row>
    <row r="43" spans="2:5" ht="15.75">
      <c r="B43" s="209" t="s">
        <v>95</v>
      </c>
      <c r="C43" s="130" t="s">
        <v>137</v>
      </c>
      <c r="D43" s="129">
        <f>' (смета)'!G63</f>
        <v>17917</v>
      </c>
      <c r="E43" s="210"/>
    </row>
    <row r="44" spans="2:5" ht="15.75">
      <c r="B44" s="209" t="s">
        <v>109</v>
      </c>
      <c r="C44" s="212" t="s">
        <v>138</v>
      </c>
      <c r="D44" s="129">
        <f>' (смета)'!G76</f>
        <v>0</v>
      </c>
      <c r="E44" s="210"/>
    </row>
    <row r="45" spans="2:5" ht="18.75" customHeight="1">
      <c r="B45" s="206">
        <v>3</v>
      </c>
      <c r="C45" s="207" t="s">
        <v>91</v>
      </c>
      <c r="D45" s="131">
        <f>D15+D26</f>
        <v>75600</v>
      </c>
      <c r="E45" s="208">
        <f>E15+E26</f>
        <v>0</v>
      </c>
    </row>
    <row r="46" spans="2:5" ht="15.75">
      <c r="B46" s="211"/>
      <c r="C46" s="130"/>
      <c r="D46" s="129"/>
      <c r="E46" s="210"/>
    </row>
    <row r="47" spans="2:5" ht="15.75">
      <c r="B47" s="211">
        <v>4</v>
      </c>
      <c r="C47" s="130" t="s">
        <v>92</v>
      </c>
      <c r="D47" s="27">
        <f>' (смета)'!E10</f>
        <v>6</v>
      </c>
      <c r="E47" s="210"/>
    </row>
    <row r="48" spans="2:5" ht="15.75">
      <c r="B48" s="211">
        <v>5</v>
      </c>
      <c r="C48" s="130" t="s">
        <v>139</v>
      </c>
      <c r="D48" s="27">
        <f>' (смета)'!E15</f>
        <v>72</v>
      </c>
      <c r="E48" s="210"/>
    </row>
    <row r="49" spans="2:5" ht="15.75">
      <c r="B49" s="206">
        <v>6</v>
      </c>
      <c r="C49" s="207" t="s">
        <v>140</v>
      </c>
      <c r="D49" s="131">
        <f>D45/D47/D48</f>
        <v>175</v>
      </c>
      <c r="E49" s="208"/>
    </row>
    <row r="50" spans="2:4" ht="15.75">
      <c r="B50" s="6"/>
      <c r="C50" s="6"/>
      <c r="D50" s="6"/>
    </row>
    <row r="51" spans="2:8" ht="15.75">
      <c r="B51" s="6" t="s">
        <v>151</v>
      </c>
      <c r="C51" s="7" t="str">
        <f>' (смета)'!F81</f>
        <v>А.Р. Саттарова</v>
      </c>
      <c r="D51" s="6"/>
      <c r="E51" s="125"/>
      <c r="F51" s="18"/>
      <c r="G51" s="320"/>
      <c r="H51" s="320"/>
    </row>
    <row r="52" spans="2:8" ht="15.75">
      <c r="B52" s="6"/>
      <c r="C52" s="6"/>
      <c r="D52" s="6"/>
      <c r="E52" s="6"/>
      <c r="F52" s="6"/>
      <c r="G52" s="7"/>
      <c r="H52" s="7"/>
    </row>
    <row r="53" spans="2:8" ht="15.75">
      <c r="B53" s="6"/>
      <c r="C53" s="6"/>
      <c r="D53" s="6"/>
      <c r="E53" s="125"/>
      <c r="F53" s="18"/>
      <c r="G53" s="321"/>
      <c r="H53" s="321"/>
    </row>
  </sheetData>
  <sheetProtection/>
  <mergeCells count="6">
    <mergeCell ref="D3:G3"/>
    <mergeCell ref="G51:H51"/>
    <mergeCell ref="G53:H53"/>
    <mergeCell ref="B8:D8"/>
    <mergeCell ref="B9:D9"/>
    <mergeCell ref="B13:E1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"/>
  <sheetViews>
    <sheetView showZeros="0" view="pageBreakPreview" zoomScale="80" zoomScaleNormal="80" zoomScaleSheetLayoutView="80" zoomScalePageLayoutView="0" workbookViewId="0" topLeftCell="A1">
      <selection activeCell="J19" sqref="J19"/>
    </sheetView>
  </sheetViews>
  <sheetFormatPr defaultColWidth="9.00390625" defaultRowHeight="12.75" customHeight="1"/>
  <cols>
    <col min="1" max="1" width="0.74609375" style="88" customWidth="1"/>
    <col min="2" max="2" width="13.75390625" style="88" customWidth="1"/>
    <col min="3" max="3" width="11.00390625" style="88" customWidth="1"/>
    <col min="4" max="4" width="25.875" style="88" customWidth="1"/>
    <col min="5" max="5" width="15.75390625" style="88" customWidth="1"/>
    <col min="6" max="6" width="13.875" style="88" customWidth="1"/>
    <col min="7" max="7" width="16.625" style="91" customWidth="1"/>
    <col min="8" max="8" width="14.875" style="91" customWidth="1"/>
    <col min="9" max="9" width="15.125" style="91" customWidth="1"/>
    <col min="10" max="10" width="14.375" style="91" customWidth="1"/>
    <col min="11" max="11" width="12.375" style="91" customWidth="1"/>
    <col min="12" max="12" width="11.00390625" style="88" hidden="1" customWidth="1"/>
    <col min="13" max="13" width="11.00390625" style="8" hidden="1" customWidth="1"/>
    <col min="14" max="14" width="12.875" style="175" customWidth="1"/>
    <col min="15" max="15" width="9.125" style="6" customWidth="1"/>
    <col min="16" max="16" width="11.875" style="88" customWidth="1"/>
    <col min="17" max="17" width="11.125" style="88" customWidth="1"/>
    <col min="18" max="18" width="12.25390625" style="88" customWidth="1"/>
    <col min="19" max="19" width="15.625" style="88" customWidth="1"/>
    <col min="20" max="20" width="17.375" style="88" customWidth="1"/>
    <col min="21" max="16384" width="9.125" style="88" customWidth="1"/>
  </cols>
  <sheetData>
    <row r="1" spans="7:14" s="6" customFormat="1" ht="12.75" customHeight="1">
      <c r="G1" s="7"/>
      <c r="H1" s="7"/>
      <c r="I1" s="7"/>
      <c r="J1" s="7"/>
      <c r="K1" s="7"/>
      <c r="M1" s="8"/>
      <c r="N1" s="175"/>
    </row>
    <row r="2" spans="2:15" s="9" customFormat="1" ht="19.5" customHeight="1">
      <c r="B2" s="310" t="s">
        <v>103</v>
      </c>
      <c r="C2" s="310"/>
      <c r="D2" s="310"/>
      <c r="E2" s="310"/>
      <c r="F2" s="310"/>
      <c r="G2" s="310"/>
      <c r="H2" s="310"/>
      <c r="I2" s="310"/>
      <c r="J2" s="310"/>
      <c r="K2" s="310"/>
      <c r="M2" s="8"/>
      <c r="N2" s="175"/>
      <c r="O2" s="6"/>
    </row>
    <row r="3" spans="2:20" s="9" customFormat="1" ht="19.5" customHeight="1">
      <c r="B3" s="310" t="str">
        <f>' (смета)'!B3:K3</f>
        <v>                 на  2023-2024 учебный год  (сентябрь -май)</v>
      </c>
      <c r="C3" s="310"/>
      <c r="D3" s="310"/>
      <c r="E3" s="310"/>
      <c r="F3" s="310"/>
      <c r="G3" s="310"/>
      <c r="H3" s="310"/>
      <c r="I3" s="310"/>
      <c r="J3" s="310"/>
      <c r="K3" s="310"/>
      <c r="M3" s="8"/>
      <c r="N3" s="175"/>
      <c r="O3" s="6"/>
      <c r="P3" s="305" t="s">
        <v>148</v>
      </c>
      <c r="Q3" s="306"/>
      <c r="R3" s="306"/>
      <c r="S3" s="307"/>
      <c r="T3" s="195" t="s">
        <v>72</v>
      </c>
    </row>
    <row r="4" spans="2:20" s="6" customFormat="1" ht="16.5" customHeight="1">
      <c r="B4" s="224" t="s">
        <v>155</v>
      </c>
      <c r="C4" s="223" t="s">
        <v>153</v>
      </c>
      <c r="D4" s="10"/>
      <c r="G4" s="11"/>
      <c r="H4" s="7"/>
      <c r="I4" s="12"/>
      <c r="J4" s="12"/>
      <c r="K4" s="7"/>
      <c r="M4" s="8"/>
      <c r="N4" s="175"/>
      <c r="P4" s="192">
        <f>G20</f>
        <v>1008000</v>
      </c>
      <c r="Q4" s="193">
        <f>H20+I20+J20+K20</f>
        <v>1008000</v>
      </c>
      <c r="R4" s="193">
        <f>G21+G26+G58</f>
        <v>1008000</v>
      </c>
      <c r="S4" s="194">
        <f>'калькуляция (2)'!D43</f>
        <v>1008000</v>
      </c>
      <c r="T4" s="196">
        <f>'резерв отпускных (2)'!D10+'резерв отпускных (2)'!D11+'резерв отпускных (2)'!D14+'резерв отпускных (2)'!D15</f>
        <v>604800</v>
      </c>
    </row>
    <row r="5" spans="3:14" s="6" customFormat="1" ht="12.75" customHeight="1">
      <c r="C5" s="223" t="s">
        <v>154</v>
      </c>
      <c r="G5" s="7"/>
      <c r="H5" s="7"/>
      <c r="I5" s="7"/>
      <c r="J5" s="7"/>
      <c r="K5" s="7"/>
      <c r="M5" s="8"/>
      <c r="N5" s="175"/>
    </row>
    <row r="6" spans="2:20" s="5" customFormat="1" ht="18" customHeight="1">
      <c r="B6" s="272"/>
      <c r="C6" s="272"/>
      <c r="D6" s="272"/>
      <c r="E6" s="272"/>
      <c r="F6" s="272"/>
      <c r="G6" s="272"/>
      <c r="H6" s="272"/>
      <c r="I6" s="272"/>
      <c r="J6" s="272"/>
      <c r="K6" s="272"/>
      <c r="M6" s="14"/>
      <c r="N6" s="176"/>
      <c r="P6" s="199">
        <f>E16-P4</f>
        <v>0</v>
      </c>
      <c r="Q6" s="199">
        <f>E16-Q4</f>
        <v>0</v>
      </c>
      <c r="R6" s="199">
        <f>E16-R4</f>
        <v>0</v>
      </c>
      <c r="S6" s="199">
        <f>E16-S4</f>
        <v>0</v>
      </c>
      <c r="T6" s="199">
        <f>G21-T4</f>
        <v>0</v>
      </c>
    </row>
    <row r="7" spans="2:14" s="6" customFormat="1" ht="18" customHeight="1">
      <c r="B7" s="325" t="s">
        <v>192</v>
      </c>
      <c r="C7" s="325"/>
      <c r="D7" s="325"/>
      <c r="E7" s="44" t="s">
        <v>215</v>
      </c>
      <c r="F7" s="44"/>
      <c r="G7" s="13"/>
      <c r="H7" s="7"/>
      <c r="I7" s="7"/>
      <c r="J7" s="7"/>
      <c r="K7" s="7"/>
      <c r="M7" s="8"/>
      <c r="N7" s="175"/>
    </row>
    <row r="8" spans="2:14" s="6" customFormat="1" ht="18" customHeight="1">
      <c r="B8" s="277" t="s">
        <v>193</v>
      </c>
      <c r="C8" s="280"/>
      <c r="D8" s="277" t="s">
        <v>222</v>
      </c>
      <c r="E8" s="279"/>
      <c r="F8" s="44"/>
      <c r="G8" s="13"/>
      <c r="H8" s="7"/>
      <c r="I8" s="7"/>
      <c r="J8" s="7"/>
      <c r="K8" s="7"/>
      <c r="M8" s="8"/>
      <c r="N8" s="175"/>
    </row>
    <row r="9" spans="2:14" s="6" customFormat="1" ht="27" customHeight="1">
      <c r="B9" s="6" t="s">
        <v>41</v>
      </c>
      <c r="E9" s="173">
        <v>40</v>
      </c>
      <c r="F9" s="88"/>
      <c r="G9" s="228" t="s">
        <v>160</v>
      </c>
      <c r="H9" s="7">
        <v>2800</v>
      </c>
      <c r="I9" s="7"/>
      <c r="J9" s="7"/>
      <c r="K9" s="7"/>
      <c r="M9" s="8"/>
      <c r="N9" s="175"/>
    </row>
    <row r="10" spans="2:15" s="6" customFormat="1" ht="18" customHeight="1">
      <c r="B10" s="6" t="s">
        <v>44</v>
      </c>
      <c r="E10" s="173">
        <v>8</v>
      </c>
      <c r="F10" s="15"/>
      <c r="G10" s="7" t="s">
        <v>161</v>
      </c>
      <c r="H10" s="228">
        <f>H9/32</f>
        <v>87.5</v>
      </c>
      <c r="I10" s="7"/>
      <c r="J10" s="7"/>
      <c r="K10" s="7"/>
      <c r="M10" s="8"/>
      <c r="N10" s="177" t="s">
        <v>191</v>
      </c>
      <c r="O10" s="16"/>
    </row>
    <row r="11" spans="2:14" s="6" customFormat="1" ht="18" customHeight="1">
      <c r="B11" s="6" t="s">
        <v>42</v>
      </c>
      <c r="E11" s="173">
        <v>1</v>
      </c>
      <c r="F11" s="15"/>
      <c r="G11" s="17"/>
      <c r="H11" s="7"/>
      <c r="I11" s="7"/>
      <c r="J11" s="7"/>
      <c r="K11" s="7"/>
      <c r="M11" s="8"/>
      <c r="N11" s="175"/>
    </row>
    <row r="12" spans="2:14" s="6" customFormat="1" ht="18" customHeight="1">
      <c r="B12" s="6" t="s">
        <v>45</v>
      </c>
      <c r="E12" s="172">
        <f>G13</f>
        <v>36</v>
      </c>
      <c r="F12" s="15"/>
      <c r="G12" s="7"/>
      <c r="H12" s="7"/>
      <c r="I12" s="7"/>
      <c r="J12" s="7"/>
      <c r="K12" s="7"/>
      <c r="M12" s="8"/>
      <c r="N12" s="175"/>
    </row>
    <row r="13" spans="2:14" s="6" customFormat="1" ht="18" customHeight="1">
      <c r="B13" s="6" t="s">
        <v>94</v>
      </c>
      <c r="E13" s="173">
        <f>E12*E10*E11</f>
        <v>288</v>
      </c>
      <c r="G13" s="27">
        <f>H13+I13+J13+K13</f>
        <v>36</v>
      </c>
      <c r="H13" s="27">
        <v>4</v>
      </c>
      <c r="I13" s="27">
        <v>12</v>
      </c>
      <c r="J13" s="27">
        <v>12</v>
      </c>
      <c r="K13" s="27">
        <v>8</v>
      </c>
      <c r="M13" s="8"/>
      <c r="N13" s="175"/>
    </row>
    <row r="14" spans="2:14" s="6" customFormat="1" ht="18" customHeight="1">
      <c r="B14" s="6" t="s">
        <v>130</v>
      </c>
      <c r="E14" s="288">
        <f>H10</f>
        <v>87.5</v>
      </c>
      <c r="G14" s="89"/>
      <c r="H14" s="89"/>
      <c r="I14" s="89"/>
      <c r="J14" s="89"/>
      <c r="K14" s="89"/>
      <c r="M14" s="8"/>
      <c r="N14" s="175"/>
    </row>
    <row r="15" spans="2:14" s="6" customFormat="1" ht="21" customHeight="1">
      <c r="B15" s="6" t="s">
        <v>46</v>
      </c>
      <c r="E15" s="299">
        <f>E10*E12*E14</f>
        <v>25200</v>
      </c>
      <c r="F15" s="6" t="s">
        <v>149</v>
      </c>
      <c r="G15" s="89"/>
      <c r="H15" s="89"/>
      <c r="I15" s="89"/>
      <c r="J15" s="89"/>
      <c r="K15" s="89"/>
      <c r="M15" s="8"/>
      <c r="N15" s="175"/>
    </row>
    <row r="16" spans="1:18" s="6" customFormat="1" ht="18" customHeight="1">
      <c r="A16" s="18"/>
      <c r="B16" s="18" t="s">
        <v>47</v>
      </c>
      <c r="C16" s="19"/>
      <c r="D16" s="19"/>
      <c r="E16" s="300">
        <f>E15*E9</f>
        <v>1008000</v>
      </c>
      <c r="F16" s="19"/>
      <c r="G16" s="89"/>
      <c r="H16" s="89"/>
      <c r="I16" s="89"/>
      <c r="J16" s="89"/>
      <c r="K16" s="89"/>
      <c r="L16" s="6" t="s">
        <v>1</v>
      </c>
      <c r="M16" s="8"/>
      <c r="N16" s="175"/>
      <c r="R16" s="6" t="s">
        <v>149</v>
      </c>
    </row>
    <row r="17" spans="1:14" s="6" customFormat="1" ht="18" customHeight="1">
      <c r="A17" s="18"/>
      <c r="B17" s="18"/>
      <c r="C17" s="19"/>
      <c r="D17" s="19"/>
      <c r="E17" s="20"/>
      <c r="F17" s="19"/>
      <c r="G17" s="89"/>
      <c r="H17" s="89"/>
      <c r="I17" s="89"/>
      <c r="J17" s="89"/>
      <c r="K17" s="89"/>
      <c r="M17" s="8"/>
      <c r="N17" s="175"/>
    </row>
    <row r="18" spans="1:23" s="6" customFormat="1" ht="18" customHeight="1">
      <c r="A18" s="18"/>
      <c r="B18" s="21" t="s">
        <v>29</v>
      </c>
      <c r="C18" s="22"/>
      <c r="D18" s="22"/>
      <c r="E18" s="22"/>
      <c r="F18" s="22"/>
      <c r="G18" s="148"/>
      <c r="H18" s="312">
        <v>2023</v>
      </c>
      <c r="I18" s="313"/>
      <c r="J18" s="314">
        <v>2024</v>
      </c>
      <c r="K18" s="315"/>
      <c r="L18" s="23" t="s">
        <v>39</v>
      </c>
      <c r="M18" s="8"/>
      <c r="N18" s="311" t="s">
        <v>145</v>
      </c>
      <c r="P18" s="24"/>
      <c r="Q18" s="25"/>
      <c r="R18" s="4"/>
      <c r="S18" s="4"/>
      <c r="T18" s="25"/>
      <c r="U18" s="25"/>
      <c r="V18" s="25"/>
      <c r="W18" s="25"/>
    </row>
    <row r="19" spans="1:14" s="6" customFormat="1" ht="18" customHeight="1">
      <c r="A19" s="18"/>
      <c r="B19" s="26"/>
      <c r="C19" s="116" t="s">
        <v>43</v>
      </c>
      <c r="D19" s="18"/>
      <c r="E19" s="18"/>
      <c r="F19" s="18"/>
      <c r="G19" s="149"/>
      <c r="H19" s="27" t="s">
        <v>32</v>
      </c>
      <c r="I19" s="27" t="s">
        <v>33</v>
      </c>
      <c r="J19" s="27" t="s">
        <v>30</v>
      </c>
      <c r="K19" s="27" t="s">
        <v>31</v>
      </c>
      <c r="L19" s="28" t="s">
        <v>40</v>
      </c>
      <c r="M19" s="8"/>
      <c r="N19" s="311"/>
    </row>
    <row r="20" spans="2:23" s="25" customFormat="1" ht="30" customHeight="1">
      <c r="B20" s="29"/>
      <c r="C20" s="30"/>
      <c r="D20" s="30"/>
      <c r="E20" s="30"/>
      <c r="F20" s="30"/>
      <c r="G20" s="150">
        <f>E16</f>
        <v>1008000</v>
      </c>
      <c r="H20" s="151">
        <f>E16/G13*H13</f>
        <v>112000</v>
      </c>
      <c r="I20" s="151">
        <f>E16/G13*I13</f>
        <v>336000</v>
      </c>
      <c r="J20" s="151">
        <f>E16/G13*J13</f>
        <v>336000</v>
      </c>
      <c r="K20" s="151">
        <f>E16/G13*K13</f>
        <v>224000</v>
      </c>
      <c r="L20" s="31">
        <f>E14</f>
        <v>87.5</v>
      </c>
      <c r="M20" s="32" t="e">
        <f>G20/N10</f>
        <v>#VALUE!</v>
      </c>
      <c r="N20" s="178">
        <f>G20/G20</f>
        <v>1</v>
      </c>
      <c r="O20" s="5"/>
      <c r="P20" s="6"/>
      <c r="Q20" s="6"/>
      <c r="R20" s="6"/>
      <c r="S20" s="6"/>
      <c r="T20" s="6"/>
      <c r="U20" s="6"/>
      <c r="V20" s="6"/>
      <c r="W20" s="6"/>
    </row>
    <row r="21" spans="2:24" s="6" customFormat="1" ht="24.75" customHeight="1" thickBot="1">
      <c r="B21" s="101" t="s">
        <v>28</v>
      </c>
      <c r="C21" s="102"/>
      <c r="D21" s="102"/>
      <c r="E21" s="102"/>
      <c r="F21" s="102"/>
      <c r="G21" s="152">
        <f>+H21+I21+J21+K21</f>
        <v>604800</v>
      </c>
      <c r="H21" s="152">
        <f>H20*0.6</f>
        <v>67200</v>
      </c>
      <c r="I21" s="152">
        <f>I20*0.6</f>
        <v>201600</v>
      </c>
      <c r="J21" s="152">
        <f>J20*0.6</f>
        <v>201600</v>
      </c>
      <c r="K21" s="152">
        <f>K20*0.6</f>
        <v>134400</v>
      </c>
      <c r="L21" s="33"/>
      <c r="M21" s="32">
        <f>G21/8208</f>
        <v>73.68</v>
      </c>
      <c r="N21" s="179">
        <f>G21/G20</f>
        <v>0.6</v>
      </c>
      <c r="O21" s="147"/>
      <c r="X21" s="142"/>
    </row>
    <row r="22" spans="2:22" s="6" customFormat="1" ht="17.25" customHeight="1">
      <c r="B22" s="103"/>
      <c r="C22" s="34"/>
      <c r="D22" s="34"/>
      <c r="E22" s="34"/>
      <c r="F22" s="35"/>
      <c r="G22" s="27"/>
      <c r="H22" s="148">
        <v>0</v>
      </c>
      <c r="I22" s="148"/>
      <c r="J22" s="148"/>
      <c r="K22" s="148"/>
      <c r="L22" s="36" t="e">
        <f>M22</f>
        <v>#VALUE!</v>
      </c>
      <c r="M22" s="32" t="e">
        <f>G22/N10</f>
        <v>#VALUE!</v>
      </c>
      <c r="N22" s="179"/>
      <c r="P22" s="181" t="s">
        <v>142</v>
      </c>
      <c r="Q22" s="182"/>
      <c r="R22" s="182"/>
      <c r="S22" s="182"/>
      <c r="T22" s="183"/>
      <c r="U22" s="18"/>
      <c r="V22" s="18"/>
    </row>
    <row r="23" spans="1:24" s="6" customFormat="1" ht="17.25" customHeight="1">
      <c r="A23" s="6" t="s">
        <v>124</v>
      </c>
      <c r="B23" s="99" t="s">
        <v>132</v>
      </c>
      <c r="C23" s="37"/>
      <c r="D23" s="37"/>
      <c r="E23" s="37"/>
      <c r="F23" s="37"/>
      <c r="G23" s="27">
        <f aca="true" t="shared" si="0" ref="G23:G33">SUM(H23:K23)</f>
        <v>464517</v>
      </c>
      <c r="H23" s="27">
        <f>H21/1.302</f>
        <v>51613</v>
      </c>
      <c r="I23" s="27">
        <f>I21/1.302</f>
        <v>154839</v>
      </c>
      <c r="J23" s="27">
        <f>J21/1.302</f>
        <v>154839</v>
      </c>
      <c r="K23" s="27">
        <f>K21/1.302</f>
        <v>103226</v>
      </c>
      <c r="L23" s="38" t="e">
        <f>M23</f>
        <v>#VALUE!</v>
      </c>
      <c r="M23" s="32" t="e">
        <f>G23/N10</f>
        <v>#VALUE!</v>
      </c>
      <c r="N23" s="179"/>
      <c r="P23" s="184" t="s">
        <v>123</v>
      </c>
      <c r="Q23" s="185">
        <f>E14*0.546/1.302/1.1357/1.3</f>
        <v>24.85</v>
      </c>
      <c r="R23" s="186" t="s">
        <v>143</v>
      </c>
      <c r="S23" s="186"/>
      <c r="T23" s="197" t="s">
        <v>189</v>
      </c>
      <c r="U23" s="186"/>
      <c r="V23" s="186"/>
      <c r="X23" s="142"/>
    </row>
    <row r="24" spans="1:22" s="6" customFormat="1" ht="17.25" customHeight="1" hidden="1">
      <c r="A24" s="5" t="s">
        <v>125</v>
      </c>
      <c r="B24" s="39" t="s">
        <v>129</v>
      </c>
      <c r="C24" s="39"/>
      <c r="D24" s="37"/>
      <c r="E24" s="37"/>
      <c r="F24" s="37"/>
      <c r="G24" s="27">
        <f t="shared" si="0"/>
        <v>0</v>
      </c>
      <c r="H24" s="27"/>
      <c r="I24" s="27"/>
      <c r="J24" s="27"/>
      <c r="K24" s="27"/>
      <c r="L24" s="40"/>
      <c r="M24" s="32">
        <f>G24/5760</f>
        <v>0</v>
      </c>
      <c r="N24" s="179"/>
      <c r="P24" s="187"/>
      <c r="Q24" s="18"/>
      <c r="R24" s="18"/>
      <c r="S24" s="18"/>
      <c r="T24" s="188"/>
      <c r="U24" s="18"/>
      <c r="V24" s="18"/>
    </row>
    <row r="25" spans="1:22" s="6" customFormat="1" ht="17.25" customHeight="1" thickBot="1">
      <c r="A25" s="5" t="s">
        <v>125</v>
      </c>
      <c r="B25" s="100" t="s">
        <v>133</v>
      </c>
      <c r="C25" s="41"/>
      <c r="D25" s="42"/>
      <c r="E25" s="42"/>
      <c r="F25" s="42"/>
      <c r="G25" s="27">
        <f t="shared" si="0"/>
        <v>140283</v>
      </c>
      <c r="H25" s="27">
        <f>H21-H23</f>
        <v>15587</v>
      </c>
      <c r="I25" s="27">
        <f>I21-I23</f>
        <v>46761</v>
      </c>
      <c r="J25" s="27">
        <f>J21-J23</f>
        <v>46761</v>
      </c>
      <c r="K25" s="27">
        <f>K21-K23</f>
        <v>31174</v>
      </c>
      <c r="L25" s="43" t="e">
        <f>M25</f>
        <v>#VALUE!</v>
      </c>
      <c r="M25" s="32" t="e">
        <f aca="true" t="shared" si="1" ref="M25:M33">G25/$N$10</f>
        <v>#VALUE!</v>
      </c>
      <c r="N25" s="179"/>
      <c r="P25" s="189" t="s">
        <v>141</v>
      </c>
      <c r="Q25" s="190">
        <f>E14*0.054/1.302/1.1357/1.3</f>
        <v>2.46</v>
      </c>
      <c r="R25" s="191" t="s">
        <v>143</v>
      </c>
      <c r="S25" s="191"/>
      <c r="T25" s="198" t="s">
        <v>159</v>
      </c>
      <c r="U25" s="18"/>
      <c r="V25" s="18"/>
    </row>
    <row r="26" spans="2:16" s="6" customFormat="1" ht="24.75" customHeight="1">
      <c r="B26" s="117" t="s">
        <v>0</v>
      </c>
      <c r="C26" s="118"/>
      <c r="D26" s="118"/>
      <c r="E26" s="118"/>
      <c r="F26" s="118"/>
      <c r="G26" s="153">
        <f t="shared" si="0"/>
        <v>164304</v>
      </c>
      <c r="H26" s="152">
        <f>H27+H28+H29+H42+H43+H48</f>
        <v>18256</v>
      </c>
      <c r="I26" s="152">
        <f>I27+I28+I29+I42+I43+I48</f>
        <v>54768</v>
      </c>
      <c r="J26" s="152">
        <f>J27+J28+J29+J42+J43+J48</f>
        <v>54768</v>
      </c>
      <c r="K26" s="152">
        <f>K27+K28+K29+K42+K43+K48</f>
        <v>36512</v>
      </c>
      <c r="L26" s="201" t="e">
        <f>L27+L28+L29+L42+L43+L48</f>
        <v>#VALUE!</v>
      </c>
      <c r="M26" s="32" t="e">
        <f t="shared" si="1"/>
        <v>#VALUE!</v>
      </c>
      <c r="N26" s="179"/>
      <c r="P26" s="8"/>
    </row>
    <row r="27" spans="2:15" s="44" customFormat="1" ht="17.25" customHeight="1" hidden="1">
      <c r="B27" s="45" t="s">
        <v>126</v>
      </c>
      <c r="C27" s="80"/>
      <c r="D27" s="80"/>
      <c r="E27" s="80"/>
      <c r="F27" s="80"/>
      <c r="G27" s="27">
        <f t="shared" si="0"/>
        <v>0</v>
      </c>
      <c r="H27" s="27"/>
      <c r="I27" s="27"/>
      <c r="J27" s="27"/>
      <c r="K27" s="154"/>
      <c r="L27" s="46">
        <f>(H27/3*$L$20)/($H$20/3)</f>
        <v>0</v>
      </c>
      <c r="M27" s="32" t="e">
        <f t="shared" si="1"/>
        <v>#VALUE!</v>
      </c>
      <c r="N27" s="179"/>
      <c r="O27" s="5"/>
    </row>
    <row r="28" spans="2:15" s="44" customFormat="1" ht="17.25" customHeight="1" hidden="1">
      <c r="B28" s="45" t="s">
        <v>127</v>
      </c>
      <c r="C28" s="80"/>
      <c r="D28" s="80"/>
      <c r="E28" s="80"/>
      <c r="F28" s="80"/>
      <c r="G28" s="27">
        <f t="shared" si="0"/>
        <v>0</v>
      </c>
      <c r="H28" s="27"/>
      <c r="I28" s="27"/>
      <c r="J28" s="27"/>
      <c r="K28" s="27"/>
      <c r="L28" s="46"/>
      <c r="M28" s="32" t="e">
        <f t="shared" si="1"/>
        <v>#VALUE!</v>
      </c>
      <c r="N28" s="179"/>
      <c r="O28" s="5"/>
    </row>
    <row r="29" spans="2:15" s="44" customFormat="1" ht="17.25" customHeight="1">
      <c r="B29" s="2" t="s">
        <v>106</v>
      </c>
      <c r="C29" s="105"/>
      <c r="D29" s="105"/>
      <c r="E29" s="105"/>
      <c r="F29" s="105"/>
      <c r="G29" s="145">
        <f t="shared" si="0"/>
        <v>100800</v>
      </c>
      <c r="H29" s="27">
        <f>H30+H33+H37</f>
        <v>11200</v>
      </c>
      <c r="I29" s="27">
        <f>I30+I33+I37</f>
        <v>33600</v>
      </c>
      <c r="J29" s="27">
        <f>SUM(J30:J37)</f>
        <v>33600</v>
      </c>
      <c r="K29" s="27">
        <f>SUM(K30:K37)</f>
        <v>22400</v>
      </c>
      <c r="L29" s="43" t="e">
        <f>L30+L33+L37</f>
        <v>#VALUE!</v>
      </c>
      <c r="M29" s="32" t="e">
        <f>G29/$N$10</f>
        <v>#VALUE!</v>
      </c>
      <c r="N29" s="179">
        <f>G29/G20</f>
        <v>0.1</v>
      </c>
      <c r="O29" s="5"/>
    </row>
    <row r="30" spans="2:15" s="47" customFormat="1" ht="17.25" customHeight="1">
      <c r="B30" s="39" t="s">
        <v>2</v>
      </c>
      <c r="C30" s="37"/>
      <c r="D30" s="37"/>
      <c r="E30" s="48">
        <v>0.065</v>
      </c>
      <c r="F30" s="49"/>
      <c r="G30" s="155">
        <f t="shared" si="0"/>
        <v>65520</v>
      </c>
      <c r="H30" s="156">
        <f>+H20*6.5%</f>
        <v>7280</v>
      </c>
      <c r="I30" s="156">
        <f>+I20*6.5%</f>
        <v>21840</v>
      </c>
      <c r="J30" s="156">
        <f>+J20*6.5%</f>
        <v>21840</v>
      </c>
      <c r="K30" s="156">
        <f>+K20*6.5%</f>
        <v>14560</v>
      </c>
      <c r="L30" s="38" t="e">
        <f>M30</f>
        <v>#VALUE!</v>
      </c>
      <c r="M30" s="32" t="e">
        <f t="shared" si="1"/>
        <v>#VALUE!</v>
      </c>
      <c r="N30" s="179"/>
      <c r="O30" s="6"/>
    </row>
    <row r="31" spans="2:15" s="50" customFormat="1" ht="17.25" customHeight="1" hidden="1">
      <c r="B31" s="51" t="s">
        <v>3</v>
      </c>
      <c r="C31" s="52"/>
      <c r="D31" s="52" t="s">
        <v>4</v>
      </c>
      <c r="E31" s="53"/>
      <c r="F31" s="52" t="s">
        <v>5</v>
      </c>
      <c r="G31" s="157">
        <f t="shared" si="0"/>
        <v>0</v>
      </c>
      <c r="H31" s="158"/>
      <c r="I31" s="158"/>
      <c r="J31" s="158"/>
      <c r="K31" s="158"/>
      <c r="L31" s="38">
        <f>(H31/3*$L$20)/($H$20/3)</f>
        <v>0</v>
      </c>
      <c r="M31" s="32" t="e">
        <f t="shared" si="1"/>
        <v>#VALUE!</v>
      </c>
      <c r="N31" s="180"/>
      <c r="O31" s="54"/>
    </row>
    <row r="32" spans="2:15" s="50" customFormat="1" ht="17.25" customHeight="1" hidden="1">
      <c r="B32" s="55" t="s">
        <v>6</v>
      </c>
      <c r="C32" s="56">
        <f>C31</f>
        <v>0</v>
      </c>
      <c r="D32" s="56" t="s">
        <v>7</v>
      </c>
      <c r="E32" s="57"/>
      <c r="F32" s="56"/>
      <c r="G32" s="159">
        <f t="shared" si="0"/>
        <v>0</v>
      </c>
      <c r="H32" s="158"/>
      <c r="I32" s="158"/>
      <c r="J32" s="158"/>
      <c r="K32" s="158"/>
      <c r="L32" s="38">
        <f>(H32/3*$L$20)/($H$20/3)</f>
        <v>0</v>
      </c>
      <c r="M32" s="32" t="e">
        <f t="shared" si="1"/>
        <v>#VALUE!</v>
      </c>
      <c r="N32" s="180"/>
      <c r="O32" s="54"/>
    </row>
    <row r="33" spans="2:15" s="47" customFormat="1" ht="17.25" customHeight="1">
      <c r="B33" s="39" t="s">
        <v>8</v>
      </c>
      <c r="C33" s="37"/>
      <c r="D33" s="37"/>
      <c r="E33" s="48">
        <v>0.021</v>
      </c>
      <c r="F33" s="49"/>
      <c r="G33" s="155">
        <f t="shared" si="0"/>
        <v>21168</v>
      </c>
      <c r="H33" s="156">
        <f>+H20*2.1%</f>
        <v>2352</v>
      </c>
      <c r="I33" s="156">
        <f>+I20*2.1%</f>
        <v>7056</v>
      </c>
      <c r="J33" s="156">
        <f>+J20*2.1%</f>
        <v>7056</v>
      </c>
      <c r="K33" s="156">
        <f>+K20*2.1%</f>
        <v>4704</v>
      </c>
      <c r="L33" s="38" t="e">
        <f>M33</f>
        <v>#VALUE!</v>
      </c>
      <c r="M33" s="32" t="e">
        <f t="shared" si="1"/>
        <v>#VALUE!</v>
      </c>
      <c r="N33" s="175"/>
      <c r="O33" s="6"/>
    </row>
    <row r="34" spans="2:16" s="50" customFormat="1" ht="15.75" hidden="1">
      <c r="B34" s="58"/>
      <c r="C34" s="52"/>
      <c r="D34" s="52">
        <f>1.44*24*3</f>
        <v>103.68</v>
      </c>
      <c r="E34" s="53" t="s">
        <v>48</v>
      </c>
      <c r="F34" s="106"/>
      <c r="G34" s="160"/>
      <c r="H34" s="158"/>
      <c r="I34" s="158"/>
      <c r="J34" s="158"/>
      <c r="K34" s="158"/>
      <c r="L34" s="38">
        <f>(H34/3*$L$20)/($H$20/3)</f>
        <v>0</v>
      </c>
      <c r="M34" s="32" t="e">
        <f>F34/$N$10</f>
        <v>#VALUE!</v>
      </c>
      <c r="N34" s="180"/>
      <c r="O34" s="54"/>
      <c r="P34" s="50">
        <v>224</v>
      </c>
    </row>
    <row r="35" spans="2:15" s="50" customFormat="1" ht="15.75" hidden="1">
      <c r="B35" s="52" t="s">
        <v>36</v>
      </c>
      <c r="C35" s="54"/>
      <c r="D35" s="52"/>
      <c r="E35" s="53"/>
      <c r="F35" s="52"/>
      <c r="G35" s="161"/>
      <c r="H35" s="158"/>
      <c r="I35" s="158"/>
      <c r="J35" s="158"/>
      <c r="K35" s="158"/>
      <c r="L35" s="38">
        <f>(H35/3*$L$20)/($H$20/3)</f>
        <v>0</v>
      </c>
      <c r="M35" s="32" t="e">
        <f aca="true" t="shared" si="2" ref="M35:M73">G35/$N$10</f>
        <v>#VALUE!</v>
      </c>
      <c r="N35" s="180"/>
      <c r="O35" s="54"/>
    </row>
    <row r="36" spans="2:15" s="50" customFormat="1" ht="15.75" hidden="1">
      <c r="B36" s="59"/>
      <c r="C36" s="52" t="s">
        <v>37</v>
      </c>
      <c r="D36" s="52"/>
      <c r="E36" s="53"/>
      <c r="F36" s="59"/>
      <c r="G36" s="161" t="s">
        <v>38</v>
      </c>
      <c r="H36" s="158"/>
      <c r="I36" s="158"/>
      <c r="J36" s="158"/>
      <c r="K36" s="158"/>
      <c r="L36" s="38">
        <f>(H36/3*$L$20)/($H$20/3)</f>
        <v>0</v>
      </c>
      <c r="M36" s="32" t="e">
        <f t="shared" si="2"/>
        <v>#VALUE!</v>
      </c>
      <c r="N36" s="180"/>
      <c r="O36" s="54"/>
    </row>
    <row r="37" spans="2:15" s="47" customFormat="1" ht="17.25" customHeight="1">
      <c r="B37" s="60" t="s">
        <v>9</v>
      </c>
      <c r="C37" s="37"/>
      <c r="D37" s="37"/>
      <c r="E37" s="48">
        <v>0.014</v>
      </c>
      <c r="F37" s="61"/>
      <c r="G37" s="155">
        <f>SUM(H37:K37)</f>
        <v>14112</v>
      </c>
      <c r="H37" s="156">
        <f>+H20*1.4%</f>
        <v>1568</v>
      </c>
      <c r="I37" s="156">
        <f>+I20*1.4%</f>
        <v>4704</v>
      </c>
      <c r="J37" s="156">
        <f>+J20*1.4%</f>
        <v>4704</v>
      </c>
      <c r="K37" s="156">
        <f>+K20*1.4%</f>
        <v>3136</v>
      </c>
      <c r="L37" s="38" t="e">
        <f>M37</f>
        <v>#VALUE!</v>
      </c>
      <c r="M37" s="32" t="e">
        <f t="shared" si="2"/>
        <v>#VALUE!</v>
      </c>
      <c r="N37" s="175"/>
      <c r="O37" s="6"/>
    </row>
    <row r="38" spans="2:16" s="50" customFormat="1" ht="18.75" hidden="1">
      <c r="B38" s="58" t="s">
        <v>10</v>
      </c>
      <c r="C38" s="52"/>
      <c r="D38" s="52">
        <f>50</f>
        <v>50</v>
      </c>
      <c r="E38" s="52" t="s">
        <v>49</v>
      </c>
      <c r="F38" s="54"/>
      <c r="G38" s="162"/>
      <c r="H38" s="163"/>
      <c r="I38" s="163"/>
      <c r="J38" s="163"/>
      <c r="K38" s="163"/>
      <c r="L38" s="62"/>
      <c r="M38" s="32" t="e">
        <f t="shared" si="2"/>
        <v>#VALUE!</v>
      </c>
      <c r="N38" s="180"/>
      <c r="O38" s="54"/>
      <c r="P38" s="50">
        <v>224</v>
      </c>
    </row>
    <row r="39" spans="2:16" s="50" customFormat="1" ht="18.75" hidden="1">
      <c r="B39" s="58" t="s">
        <v>11</v>
      </c>
      <c r="C39" s="52"/>
      <c r="D39" s="52">
        <f>50</f>
        <v>50</v>
      </c>
      <c r="E39" s="52" t="s">
        <v>49</v>
      </c>
      <c r="F39" s="54"/>
      <c r="G39" s="162"/>
      <c r="H39" s="163"/>
      <c r="I39" s="163"/>
      <c r="J39" s="163"/>
      <c r="K39" s="163">
        <f>H39</f>
        <v>0</v>
      </c>
      <c r="L39" s="62"/>
      <c r="M39" s="32" t="e">
        <f t="shared" si="2"/>
        <v>#VALUE!</v>
      </c>
      <c r="N39" s="180"/>
      <c r="O39" s="54"/>
      <c r="P39" s="50">
        <v>224</v>
      </c>
    </row>
    <row r="40" spans="2:15" s="47" customFormat="1" ht="11.25" customHeight="1" hidden="1">
      <c r="B40" s="63"/>
      <c r="C40" s="18"/>
      <c r="D40" s="18"/>
      <c r="E40" s="18"/>
      <c r="F40" s="18"/>
      <c r="G40" s="164"/>
      <c r="H40" s="164"/>
      <c r="I40" s="149"/>
      <c r="J40" s="165"/>
      <c r="K40" s="165"/>
      <c r="L40" s="62"/>
      <c r="M40" s="32" t="e">
        <f t="shared" si="2"/>
        <v>#VALUE!</v>
      </c>
      <c r="N40" s="175"/>
      <c r="O40" s="6"/>
    </row>
    <row r="41" spans="2:15" s="44" customFormat="1" ht="18.75" customHeight="1" hidden="1">
      <c r="B41" s="45" t="s">
        <v>34</v>
      </c>
      <c r="C41" s="80"/>
      <c r="D41" s="80"/>
      <c r="E41" s="80"/>
      <c r="F41" s="80"/>
      <c r="G41" s="145"/>
      <c r="H41" s="146"/>
      <c r="I41" s="146"/>
      <c r="J41" s="146"/>
      <c r="K41" s="166"/>
      <c r="L41" s="64"/>
      <c r="M41" s="32" t="e">
        <f t="shared" si="2"/>
        <v>#VALUE!</v>
      </c>
      <c r="N41" s="176"/>
      <c r="O41" s="5"/>
    </row>
    <row r="42" spans="2:15" s="44" customFormat="1" ht="20.25" customHeight="1" hidden="1">
      <c r="B42" s="77"/>
      <c r="C42" s="107"/>
      <c r="D42" s="107"/>
      <c r="E42" s="107"/>
      <c r="F42" s="107"/>
      <c r="G42" s="27">
        <f aca="true" t="shared" si="3" ref="G42:G52">SUM(H42:K42)</f>
        <v>0</v>
      </c>
      <c r="H42" s="167"/>
      <c r="I42" s="167"/>
      <c r="J42" s="167"/>
      <c r="K42" s="167"/>
      <c r="L42" s="46">
        <f>(H42/3*$L$20)/($H$20/3)</f>
        <v>0</v>
      </c>
      <c r="M42" s="32" t="e">
        <f t="shared" si="2"/>
        <v>#VALUE!</v>
      </c>
      <c r="N42" s="176"/>
      <c r="O42" s="5"/>
    </row>
    <row r="43" spans="2:15" s="44" customFormat="1" ht="21" customHeight="1" hidden="1">
      <c r="B43" s="108" t="s">
        <v>35</v>
      </c>
      <c r="C43" s="109"/>
      <c r="D43" s="109"/>
      <c r="E43" s="109"/>
      <c r="F43" s="109"/>
      <c r="G43" s="27">
        <f t="shared" si="3"/>
        <v>0</v>
      </c>
      <c r="H43" s="146">
        <f>H44+H46+H47</f>
        <v>0</v>
      </c>
      <c r="I43" s="146">
        <f>I44+I46+I47</f>
        <v>0</v>
      </c>
      <c r="J43" s="146">
        <f>J44+J46+J47</f>
        <v>0</v>
      </c>
      <c r="K43" s="146">
        <f>K44+K46+K47</f>
        <v>0</v>
      </c>
      <c r="L43" s="40" t="e">
        <f>L44+L46+L47</f>
        <v>#VALUE!</v>
      </c>
      <c r="M43" s="32" t="e">
        <f t="shared" si="2"/>
        <v>#VALUE!</v>
      </c>
      <c r="N43" s="176"/>
      <c r="O43" s="5"/>
    </row>
    <row r="44" spans="2:15" s="67" customFormat="1" ht="15" customHeight="1" hidden="1">
      <c r="B44" s="60" t="s">
        <v>12</v>
      </c>
      <c r="C44" s="65"/>
      <c r="D44" s="65"/>
      <c r="E44" s="65"/>
      <c r="F44" s="61"/>
      <c r="G44" s="27">
        <f t="shared" si="3"/>
        <v>0</v>
      </c>
      <c r="H44" s="27"/>
      <c r="I44" s="27"/>
      <c r="J44" s="27"/>
      <c r="K44" s="27"/>
      <c r="L44" s="66">
        <f>(H44/3*$L$20)/($H$20/3)</f>
        <v>0</v>
      </c>
      <c r="M44" s="32" t="e">
        <f t="shared" si="2"/>
        <v>#VALUE!</v>
      </c>
      <c r="N44" s="176"/>
      <c r="O44" s="5"/>
    </row>
    <row r="45" spans="2:15" s="50" customFormat="1" ht="15" customHeight="1" hidden="1">
      <c r="B45" s="58" t="s">
        <v>13</v>
      </c>
      <c r="C45" s="52"/>
      <c r="D45" s="52"/>
      <c r="E45" s="52"/>
      <c r="F45" s="52" t="s">
        <v>14</v>
      </c>
      <c r="G45" s="27">
        <f t="shared" si="3"/>
        <v>0</v>
      </c>
      <c r="H45" s="163">
        <f>ROUND(E45*0.976*1.18,1)</f>
        <v>0</v>
      </c>
      <c r="I45" s="163">
        <f>ROUND(E45*0.976*1.18,1)</f>
        <v>0</v>
      </c>
      <c r="J45" s="163">
        <f>ROUND(E45*0.976*1.18,1)</f>
        <v>0</v>
      </c>
      <c r="K45" s="163">
        <f>ROUND(E45*0.976*1.18,1)</f>
        <v>0</v>
      </c>
      <c r="L45" s="68">
        <f>(H45/3*$L$20)/($H$20/3)</f>
        <v>0</v>
      </c>
      <c r="M45" s="32" t="e">
        <f t="shared" si="2"/>
        <v>#VALUE!</v>
      </c>
      <c r="N45" s="180"/>
      <c r="O45" s="54"/>
    </row>
    <row r="46" spans="2:15" s="47" customFormat="1" ht="15" customHeight="1" hidden="1">
      <c r="B46" s="39" t="s">
        <v>15</v>
      </c>
      <c r="C46" s="37"/>
      <c r="D46" s="37"/>
      <c r="E46" s="37"/>
      <c r="F46" s="49"/>
      <c r="G46" s="27">
        <f t="shared" si="3"/>
        <v>0</v>
      </c>
      <c r="H46" s="27"/>
      <c r="I46" s="27"/>
      <c r="J46" s="27"/>
      <c r="K46" s="27"/>
      <c r="L46" s="46" t="e">
        <f>M46</f>
        <v>#VALUE!</v>
      </c>
      <c r="M46" s="32" t="e">
        <f t="shared" si="2"/>
        <v>#VALUE!</v>
      </c>
      <c r="N46" s="175"/>
      <c r="O46" s="6"/>
    </row>
    <row r="47" spans="2:15" s="50" customFormat="1" ht="15" customHeight="1" hidden="1">
      <c r="B47" s="39" t="s">
        <v>16</v>
      </c>
      <c r="C47" s="69"/>
      <c r="D47" s="69"/>
      <c r="E47" s="69"/>
      <c r="F47" s="69"/>
      <c r="G47" s="27">
        <f t="shared" si="3"/>
        <v>0</v>
      </c>
      <c r="H47" s="27"/>
      <c r="I47" s="27"/>
      <c r="J47" s="27"/>
      <c r="K47" s="27"/>
      <c r="L47" s="70" t="e">
        <f>M47</f>
        <v>#VALUE!</v>
      </c>
      <c r="M47" s="32" t="e">
        <f t="shared" si="2"/>
        <v>#VALUE!</v>
      </c>
      <c r="N47" s="180"/>
      <c r="O47" s="54"/>
    </row>
    <row r="48" spans="2:15" s="44" customFormat="1" ht="18" customHeight="1">
      <c r="B48" s="2" t="s">
        <v>128</v>
      </c>
      <c r="C48" s="105"/>
      <c r="D48" s="105"/>
      <c r="E48" s="105"/>
      <c r="F48" s="105"/>
      <c r="G48" s="27">
        <f t="shared" si="3"/>
        <v>63504</v>
      </c>
      <c r="H48" s="27">
        <f>SUM(H49:H52)</f>
        <v>7056</v>
      </c>
      <c r="I48" s="27">
        <f>SUM(I49:I52)</f>
        <v>21168</v>
      </c>
      <c r="J48" s="27">
        <f>SUM(J49:J52)</f>
        <v>21168</v>
      </c>
      <c r="K48" s="27">
        <f>SUM(K49:K52)</f>
        <v>14112</v>
      </c>
      <c r="L48" s="46" t="e">
        <f>L49+L50+L51</f>
        <v>#VALUE!</v>
      </c>
      <c r="M48" s="32" t="e">
        <f t="shared" si="2"/>
        <v>#VALUE!</v>
      </c>
      <c r="N48" s="176"/>
      <c r="O48" s="5"/>
    </row>
    <row r="49" spans="2:15" s="47" customFormat="1" ht="32.25" customHeight="1">
      <c r="B49" s="308" t="s">
        <v>150</v>
      </c>
      <c r="C49" s="309"/>
      <c r="D49" s="309"/>
      <c r="E49" s="71">
        <v>0.05</v>
      </c>
      <c r="F49" s="37"/>
      <c r="G49" s="27">
        <f t="shared" si="3"/>
        <v>50400</v>
      </c>
      <c r="H49" s="27">
        <f>H20*5%</f>
        <v>5600</v>
      </c>
      <c r="I49" s="27">
        <f>I20*5%</f>
        <v>16800</v>
      </c>
      <c r="J49" s="27">
        <f>J20*5%</f>
        <v>16800</v>
      </c>
      <c r="K49" s="27">
        <f>K20*5%</f>
        <v>11200</v>
      </c>
      <c r="L49" s="70" t="e">
        <f>M49</f>
        <v>#VALUE!</v>
      </c>
      <c r="M49" s="32" t="e">
        <f t="shared" si="2"/>
        <v>#VALUE!</v>
      </c>
      <c r="N49" s="179">
        <f>G49/G20</f>
        <v>0.05</v>
      </c>
      <c r="O49" s="6"/>
    </row>
    <row r="50" spans="2:15" s="47" customFormat="1" ht="18.75" customHeight="1">
      <c r="B50" s="39" t="s">
        <v>105</v>
      </c>
      <c r="C50" s="42"/>
      <c r="D50" s="42"/>
      <c r="E50" s="121">
        <v>0.013</v>
      </c>
      <c r="F50" s="85"/>
      <c r="G50" s="27">
        <f>SUM(H50:K50)</f>
        <v>13104</v>
      </c>
      <c r="H50" s="27">
        <f>H20*1.3%</f>
        <v>1456</v>
      </c>
      <c r="I50" s="27">
        <f>I20*1.3%</f>
        <v>4368</v>
      </c>
      <c r="J50" s="27">
        <f>J20*1.3%</f>
        <v>4368</v>
      </c>
      <c r="K50" s="27">
        <f>K20*1.3%</f>
        <v>2912</v>
      </c>
      <c r="L50" s="40">
        <f>G50/7296</f>
        <v>1.8</v>
      </c>
      <c r="M50" s="32" t="e">
        <f t="shared" si="2"/>
        <v>#VALUE!</v>
      </c>
      <c r="N50" s="179">
        <f>G50/G20</f>
        <v>0.013</v>
      </c>
      <c r="O50" s="6"/>
    </row>
    <row r="51" spans="2:15" s="47" customFormat="1" ht="15" customHeight="1" hidden="1">
      <c r="B51" s="39" t="s">
        <v>50</v>
      </c>
      <c r="C51" s="65"/>
      <c r="D51" s="65"/>
      <c r="E51" s="65"/>
      <c r="F51" s="65"/>
      <c r="G51" s="27">
        <f t="shared" si="3"/>
        <v>0</v>
      </c>
      <c r="H51" s="27"/>
      <c r="I51" s="27"/>
      <c r="J51" s="27"/>
      <c r="K51" s="27"/>
      <c r="L51" s="40">
        <f>L52</f>
        <v>0</v>
      </c>
      <c r="M51" s="32" t="e">
        <f t="shared" si="2"/>
        <v>#VALUE!</v>
      </c>
      <c r="N51" s="175"/>
      <c r="O51" s="6"/>
    </row>
    <row r="52" spans="2:15" s="50" customFormat="1" ht="16.5" customHeight="1" hidden="1">
      <c r="B52" s="1" t="s">
        <v>101</v>
      </c>
      <c r="C52" s="72"/>
      <c r="D52" s="72"/>
      <c r="E52" s="73">
        <v>0.6</v>
      </c>
      <c r="F52" s="72"/>
      <c r="G52" s="27">
        <f t="shared" si="3"/>
        <v>0</v>
      </c>
      <c r="H52" s="27">
        <f>H20*60%-H21</f>
        <v>0</v>
      </c>
      <c r="I52" s="27">
        <f>I20*60%-I21</f>
        <v>0</v>
      </c>
      <c r="J52" s="27">
        <f>J20*60%-J21</f>
        <v>0</v>
      </c>
      <c r="K52" s="27">
        <f>K20*60%-K21</f>
        <v>0</v>
      </c>
      <c r="L52" s="74">
        <f>G52/1440</f>
        <v>0</v>
      </c>
      <c r="M52" s="32" t="e">
        <f t="shared" si="2"/>
        <v>#VALUE!</v>
      </c>
      <c r="N52" s="180"/>
      <c r="O52" s="54"/>
    </row>
    <row r="53" spans="2:15" s="50" customFormat="1" ht="15" customHeight="1" hidden="1">
      <c r="B53" s="58"/>
      <c r="C53" s="52"/>
      <c r="D53" s="52"/>
      <c r="E53" s="52"/>
      <c r="F53" s="52"/>
      <c r="G53" s="145"/>
      <c r="H53" s="146"/>
      <c r="I53" s="146"/>
      <c r="J53" s="146"/>
      <c r="K53" s="166"/>
      <c r="L53" s="75"/>
      <c r="M53" s="32" t="e">
        <f t="shared" si="2"/>
        <v>#VALUE!</v>
      </c>
      <c r="N53" s="180"/>
      <c r="O53" s="54"/>
    </row>
    <row r="54" spans="1:14" s="6" customFormat="1" ht="15" customHeight="1" hidden="1">
      <c r="A54" s="18"/>
      <c r="B54" s="110" t="s">
        <v>17</v>
      </c>
      <c r="C54" s="111"/>
      <c r="D54" s="111"/>
      <c r="E54" s="111"/>
      <c r="F54" s="111"/>
      <c r="G54" s="145">
        <f aca="true" t="shared" si="4" ref="G54:L54">G55+G56</f>
        <v>0</v>
      </c>
      <c r="H54" s="145">
        <f t="shared" si="4"/>
        <v>0</v>
      </c>
      <c r="I54" s="145">
        <f t="shared" si="4"/>
        <v>0</v>
      </c>
      <c r="J54" s="145">
        <f t="shared" si="4"/>
        <v>0</v>
      </c>
      <c r="K54" s="145">
        <f t="shared" si="4"/>
        <v>0</v>
      </c>
      <c r="L54" s="76" t="e">
        <f t="shared" si="4"/>
        <v>#VALUE!</v>
      </c>
      <c r="M54" s="32" t="e">
        <f t="shared" si="2"/>
        <v>#VALUE!</v>
      </c>
      <c r="N54" s="175"/>
    </row>
    <row r="55" spans="1:14" s="6" customFormat="1" ht="15" customHeight="1" hidden="1">
      <c r="A55" s="18"/>
      <c r="B55" s="58" t="s">
        <v>56</v>
      </c>
      <c r="C55" s="104"/>
      <c r="D55" s="104"/>
      <c r="E55" s="104"/>
      <c r="F55" s="104"/>
      <c r="G55" s="27"/>
      <c r="H55" s="27"/>
      <c r="I55" s="27"/>
      <c r="J55" s="27"/>
      <c r="K55" s="27"/>
      <c r="L55" s="76" t="e">
        <f>M55</f>
        <v>#VALUE!</v>
      </c>
      <c r="M55" s="32" t="e">
        <f t="shared" si="2"/>
        <v>#VALUE!</v>
      </c>
      <c r="N55" s="175"/>
    </row>
    <row r="56" spans="1:14" s="6" customFormat="1" ht="15" customHeight="1" hidden="1">
      <c r="A56" s="18"/>
      <c r="B56" s="77" t="s">
        <v>55</v>
      </c>
      <c r="C56" s="112"/>
      <c r="D56" s="112"/>
      <c r="E56" s="112"/>
      <c r="F56" s="113"/>
      <c r="G56" s="148">
        <f>SUM(H56:K56)</f>
        <v>0</v>
      </c>
      <c r="H56" s="148"/>
      <c r="I56" s="168"/>
      <c r="J56" s="148"/>
      <c r="K56" s="169"/>
      <c r="L56" s="75" t="e">
        <f>M56</f>
        <v>#VALUE!</v>
      </c>
      <c r="M56" s="32" t="e">
        <f t="shared" si="2"/>
        <v>#VALUE!</v>
      </c>
      <c r="N56" s="175"/>
    </row>
    <row r="57" spans="1:14" s="6" customFormat="1" ht="15" customHeight="1" hidden="1">
      <c r="A57" s="18"/>
      <c r="B57" s="114"/>
      <c r="C57" s="115"/>
      <c r="D57" s="115"/>
      <c r="E57" s="115"/>
      <c r="F57" s="115"/>
      <c r="G57" s="170">
        <f>SUM(H57:K57)</f>
        <v>0</v>
      </c>
      <c r="H57" s="170"/>
      <c r="I57" s="170"/>
      <c r="J57" s="170"/>
      <c r="K57" s="170"/>
      <c r="L57" s="78">
        <f>G57/7296</f>
        <v>0</v>
      </c>
      <c r="M57" s="32" t="e">
        <f t="shared" si="2"/>
        <v>#VALUE!</v>
      </c>
      <c r="N57" s="175"/>
    </row>
    <row r="58" spans="1:14" s="6" customFormat="1" ht="24.75" customHeight="1">
      <c r="A58" s="18"/>
      <c r="B58" s="119" t="s">
        <v>131</v>
      </c>
      <c r="C58" s="120"/>
      <c r="D58" s="120"/>
      <c r="E58" s="120"/>
      <c r="F58" s="120"/>
      <c r="G58" s="153">
        <f>SUM(H58:K58)</f>
        <v>238896</v>
      </c>
      <c r="H58" s="153">
        <f>H65+H59</f>
        <v>26544</v>
      </c>
      <c r="I58" s="153">
        <f>I65+I59</f>
        <v>79632</v>
      </c>
      <c r="J58" s="153">
        <f>J65+J59</f>
        <v>79632</v>
      </c>
      <c r="K58" s="153">
        <f>K65+K59</f>
        <v>53088</v>
      </c>
      <c r="L58" s="79" t="e">
        <f>L65+L59</f>
        <v>#VALUE!</v>
      </c>
      <c r="M58" s="32" t="e">
        <f t="shared" si="2"/>
        <v>#VALUE!</v>
      </c>
      <c r="N58" s="179">
        <f>G58/G20</f>
        <v>0.237</v>
      </c>
    </row>
    <row r="59" spans="2:14" s="5" customFormat="1" ht="17.25" customHeight="1">
      <c r="B59" s="3" t="s">
        <v>108</v>
      </c>
      <c r="C59" s="80"/>
      <c r="D59" s="80"/>
      <c r="E59" s="80"/>
      <c r="F59" s="80"/>
      <c r="G59" s="171">
        <f aca="true" t="shared" si="5" ref="G59:G76">SUM(H59:K59)</f>
        <v>238896</v>
      </c>
      <c r="H59" s="171">
        <f>H60</f>
        <v>26544</v>
      </c>
      <c r="I59" s="171">
        <f>I60</f>
        <v>79632</v>
      </c>
      <c r="J59" s="171">
        <f>J60</f>
        <v>79632</v>
      </c>
      <c r="K59" s="171">
        <f>K60</f>
        <v>53088</v>
      </c>
      <c r="L59" s="81" t="e">
        <f>M59</f>
        <v>#VALUE!</v>
      </c>
      <c r="M59" s="32" t="e">
        <f t="shared" si="2"/>
        <v>#VALUE!</v>
      </c>
      <c r="N59" s="176"/>
    </row>
    <row r="60" spans="2:15" s="67" customFormat="1" ht="17.25" customHeight="1">
      <c r="B60" s="39" t="s">
        <v>54</v>
      </c>
      <c r="C60" s="37"/>
      <c r="D60" s="37"/>
      <c r="E60" s="37"/>
      <c r="F60" s="37"/>
      <c r="G60" s="27">
        <f>SUM(H60:K60)</f>
        <v>238896</v>
      </c>
      <c r="H60" s="27">
        <f>H20*23.7%</f>
        <v>26544</v>
      </c>
      <c r="I60" s="27">
        <f>I20*23.7%</f>
        <v>79632</v>
      </c>
      <c r="J60" s="27">
        <f>J20*23.7%</f>
        <v>79632</v>
      </c>
      <c r="K60" s="27">
        <f>K20*23.7%</f>
        <v>53088</v>
      </c>
      <c r="L60" s="81" t="e">
        <f>G60/$N$10</f>
        <v>#VALUE!</v>
      </c>
      <c r="M60" s="32" t="e">
        <f t="shared" si="2"/>
        <v>#VALUE!</v>
      </c>
      <c r="N60" s="176"/>
      <c r="O60" s="5"/>
    </row>
    <row r="61" spans="2:15" s="67" customFormat="1" ht="17.25" customHeight="1" hidden="1">
      <c r="B61" s="39" t="s">
        <v>18</v>
      </c>
      <c r="C61" s="37"/>
      <c r="D61" s="37"/>
      <c r="E61" s="37"/>
      <c r="F61" s="37"/>
      <c r="G61" s="27">
        <f t="shared" si="5"/>
        <v>0</v>
      </c>
      <c r="H61" s="27"/>
      <c r="I61" s="27"/>
      <c r="J61" s="27"/>
      <c r="K61" s="27"/>
      <c r="L61" s="82" t="e">
        <f>G61/$N$10</f>
        <v>#VALUE!</v>
      </c>
      <c r="M61" s="32" t="e">
        <f t="shared" si="2"/>
        <v>#VALUE!</v>
      </c>
      <c r="N61" s="176"/>
      <c r="O61" s="5"/>
    </row>
    <row r="62" spans="2:15" s="67" customFormat="1" ht="17.25" customHeight="1" hidden="1">
      <c r="B62" s="60" t="s">
        <v>96</v>
      </c>
      <c r="C62" s="65"/>
      <c r="D62" s="65"/>
      <c r="E62" s="65"/>
      <c r="F62" s="65"/>
      <c r="G62" s="27">
        <f t="shared" si="5"/>
        <v>0</v>
      </c>
      <c r="H62" s="27"/>
      <c r="I62" s="27"/>
      <c r="J62" s="27"/>
      <c r="K62" s="27"/>
      <c r="L62" s="82"/>
      <c r="M62" s="32"/>
      <c r="N62" s="176"/>
      <c r="O62" s="5"/>
    </row>
    <row r="63" spans="2:15" s="47" customFormat="1" ht="17.25" customHeight="1" hidden="1">
      <c r="B63" s="60" t="s">
        <v>51</v>
      </c>
      <c r="C63" s="65"/>
      <c r="D63" s="65"/>
      <c r="E63" s="65"/>
      <c r="F63" s="65"/>
      <c r="G63" s="27">
        <f t="shared" si="5"/>
        <v>0</v>
      </c>
      <c r="H63" s="27"/>
      <c r="I63" s="27"/>
      <c r="J63" s="27"/>
      <c r="K63" s="27"/>
      <c r="L63" s="82" t="e">
        <f>M63</f>
        <v>#VALUE!</v>
      </c>
      <c r="M63" s="32" t="e">
        <f t="shared" si="2"/>
        <v>#VALUE!</v>
      </c>
      <c r="N63" s="175"/>
      <c r="O63" s="6"/>
    </row>
    <row r="64" spans="2:15" s="47" customFormat="1" ht="17.25" customHeight="1" hidden="1">
      <c r="B64" s="39" t="s">
        <v>53</v>
      </c>
      <c r="C64" s="37"/>
      <c r="D64" s="37"/>
      <c r="E64" s="37"/>
      <c r="F64" s="37"/>
      <c r="G64" s="27">
        <f t="shared" si="5"/>
        <v>0</v>
      </c>
      <c r="H64" s="27"/>
      <c r="I64" s="27"/>
      <c r="J64" s="27"/>
      <c r="K64" s="27"/>
      <c r="L64" s="82" t="e">
        <f>G64/$N$10</f>
        <v>#VALUE!</v>
      </c>
      <c r="M64" s="32" t="e">
        <f t="shared" si="2"/>
        <v>#VALUE!</v>
      </c>
      <c r="N64" s="175"/>
      <c r="O64" s="6"/>
    </row>
    <row r="65" spans="2:15" s="44" customFormat="1" ht="16.5" customHeight="1" hidden="1">
      <c r="B65" s="2" t="s">
        <v>107</v>
      </c>
      <c r="C65" s="105"/>
      <c r="D65" s="105"/>
      <c r="E65" s="105"/>
      <c r="F65" s="105"/>
      <c r="G65" s="27">
        <f t="shared" si="5"/>
        <v>0</v>
      </c>
      <c r="H65" s="27"/>
      <c r="I65" s="27"/>
      <c r="J65" s="27"/>
      <c r="K65" s="27"/>
      <c r="L65" s="81" t="e">
        <f>L67+L68+L69</f>
        <v>#VALUE!</v>
      </c>
      <c r="M65" s="32" t="e">
        <f t="shared" si="2"/>
        <v>#VALUE!</v>
      </c>
      <c r="N65" s="176"/>
      <c r="O65" s="5"/>
    </row>
    <row r="66" spans="2:15" s="67" customFormat="1" ht="15" customHeight="1" hidden="1">
      <c r="B66" s="39" t="s">
        <v>19</v>
      </c>
      <c r="C66" s="83"/>
      <c r="D66" s="83"/>
      <c r="E66" s="83"/>
      <c r="F66" s="83"/>
      <c r="G66" s="27">
        <f t="shared" si="5"/>
        <v>0</v>
      </c>
      <c r="H66" s="27"/>
      <c r="I66" s="27"/>
      <c r="J66" s="27"/>
      <c r="K66" s="27"/>
      <c r="L66" s="82" t="e">
        <f>G66/$N$10</f>
        <v>#VALUE!</v>
      </c>
      <c r="M66" s="32" t="e">
        <f t="shared" si="2"/>
        <v>#VALUE!</v>
      </c>
      <c r="N66" s="176"/>
      <c r="O66" s="5"/>
    </row>
    <row r="67" spans="2:15" s="67" customFormat="1" ht="15" customHeight="1" hidden="1">
      <c r="B67" s="39" t="s">
        <v>20</v>
      </c>
      <c r="C67" s="37"/>
      <c r="D67" s="37"/>
      <c r="E67" s="37"/>
      <c r="F67" s="37"/>
      <c r="G67" s="27">
        <f t="shared" si="5"/>
        <v>0</v>
      </c>
      <c r="H67" s="27"/>
      <c r="I67" s="27"/>
      <c r="J67" s="27"/>
      <c r="K67" s="27"/>
      <c r="L67" s="82" t="e">
        <f>G67/$N$10</f>
        <v>#VALUE!</v>
      </c>
      <c r="M67" s="32" t="e">
        <f t="shared" si="2"/>
        <v>#VALUE!</v>
      </c>
      <c r="N67" s="176"/>
      <c r="O67" s="5"/>
    </row>
    <row r="68" spans="2:15" s="47" customFormat="1" ht="15" customHeight="1" hidden="1">
      <c r="B68" s="39" t="s">
        <v>21</v>
      </c>
      <c r="C68" s="37"/>
      <c r="D68" s="37"/>
      <c r="E68" s="37"/>
      <c r="F68" s="37"/>
      <c r="G68" s="27">
        <f t="shared" si="5"/>
        <v>0</v>
      </c>
      <c r="H68" s="27"/>
      <c r="I68" s="27"/>
      <c r="J68" s="27"/>
      <c r="K68" s="27"/>
      <c r="L68" s="82" t="e">
        <f>G68/$N$10</f>
        <v>#VALUE!</v>
      </c>
      <c r="M68" s="32" t="e">
        <f t="shared" si="2"/>
        <v>#VALUE!</v>
      </c>
      <c r="N68" s="175"/>
      <c r="O68" s="6"/>
    </row>
    <row r="69" spans="2:15" s="47" customFormat="1" ht="15" customHeight="1" hidden="1">
      <c r="B69" s="39" t="s">
        <v>22</v>
      </c>
      <c r="C69" s="37"/>
      <c r="D69" s="37"/>
      <c r="E69" s="37"/>
      <c r="F69" s="37"/>
      <c r="G69" s="27">
        <f t="shared" si="5"/>
        <v>0</v>
      </c>
      <c r="H69" s="27">
        <f>SUM(H70:H75)</f>
        <v>0</v>
      </c>
      <c r="I69" s="27">
        <f>SUM(I70:I75)</f>
        <v>0</v>
      </c>
      <c r="J69" s="27">
        <f>SUM(J70:J75)</f>
        <v>0</v>
      </c>
      <c r="K69" s="27">
        <f>SUM(K70:K75)</f>
        <v>0</v>
      </c>
      <c r="L69" s="76" t="e">
        <f>SUM(L70:L75)</f>
        <v>#VALUE!</v>
      </c>
      <c r="M69" s="32" t="e">
        <f t="shared" si="2"/>
        <v>#VALUE!</v>
      </c>
      <c r="N69" s="175"/>
      <c r="O69" s="6"/>
    </row>
    <row r="70" spans="2:15" s="47" customFormat="1" ht="15" customHeight="1" hidden="1">
      <c r="B70" s="122" t="s">
        <v>23</v>
      </c>
      <c r="C70" s="123"/>
      <c r="D70" s="123"/>
      <c r="E70" s="123"/>
      <c r="F70" s="124"/>
      <c r="G70" s="27">
        <f t="shared" si="5"/>
        <v>0</v>
      </c>
      <c r="H70" s="27"/>
      <c r="I70" s="27"/>
      <c r="J70" s="27"/>
      <c r="K70" s="27"/>
      <c r="L70" s="70" t="e">
        <f aca="true" t="shared" si="6" ref="L70:L75">M70</f>
        <v>#VALUE!</v>
      </c>
      <c r="M70" s="32" t="e">
        <f t="shared" si="2"/>
        <v>#VALUE!</v>
      </c>
      <c r="N70" s="175"/>
      <c r="O70" s="6"/>
    </row>
    <row r="71" spans="2:15" s="47" customFormat="1" ht="16.5" customHeight="1" hidden="1">
      <c r="B71" s="60" t="s">
        <v>24</v>
      </c>
      <c r="C71" s="65"/>
      <c r="D71" s="65"/>
      <c r="E71" s="65"/>
      <c r="F71" s="86"/>
      <c r="G71" s="166">
        <f t="shared" si="5"/>
        <v>0</v>
      </c>
      <c r="H71" s="27"/>
      <c r="I71" s="27"/>
      <c r="J71" s="27"/>
      <c r="K71" s="27"/>
      <c r="L71" s="43" t="e">
        <f t="shared" si="6"/>
        <v>#VALUE!</v>
      </c>
      <c r="M71" s="32" t="e">
        <f t="shared" si="2"/>
        <v>#VALUE!</v>
      </c>
      <c r="N71" s="175"/>
      <c r="O71" s="6"/>
    </row>
    <row r="72" spans="2:15" s="47" customFormat="1" ht="15" customHeight="1" hidden="1">
      <c r="B72" s="60" t="s">
        <v>25</v>
      </c>
      <c r="C72" s="65"/>
      <c r="D72" s="65"/>
      <c r="E72" s="65"/>
      <c r="F72" s="86"/>
      <c r="G72" s="27">
        <f>+H72+I72+J72+K72</f>
        <v>0</v>
      </c>
      <c r="H72" s="27"/>
      <c r="I72" s="27"/>
      <c r="J72" s="27"/>
      <c r="K72" s="27"/>
      <c r="L72" s="87" t="e">
        <f>L20-L71-L26</f>
        <v>#VALUE!</v>
      </c>
      <c r="M72" s="8" t="e">
        <f>G75/$N$10</f>
        <v>#VALUE!</v>
      </c>
      <c r="N72" s="175"/>
      <c r="O72" s="6"/>
    </row>
    <row r="73" spans="2:15" s="47" customFormat="1" ht="15" customHeight="1" hidden="1">
      <c r="B73" s="39" t="s">
        <v>98</v>
      </c>
      <c r="C73" s="37"/>
      <c r="D73" s="37"/>
      <c r="E73" s="37"/>
      <c r="F73" s="84"/>
      <c r="G73" s="27">
        <f t="shared" si="5"/>
        <v>0</v>
      </c>
      <c r="H73" s="27"/>
      <c r="I73" s="27"/>
      <c r="J73" s="27"/>
      <c r="K73" s="27"/>
      <c r="L73" s="82" t="e">
        <f t="shared" si="6"/>
        <v>#VALUE!</v>
      </c>
      <c r="M73" s="8" t="e">
        <f t="shared" si="2"/>
        <v>#VALUE!</v>
      </c>
      <c r="N73" s="175"/>
      <c r="O73" s="6"/>
    </row>
    <row r="74" spans="2:15" s="47" customFormat="1" ht="15" customHeight="1" hidden="1">
      <c r="B74" s="39" t="s">
        <v>52</v>
      </c>
      <c r="C74" s="37"/>
      <c r="D74" s="37"/>
      <c r="E74" s="37"/>
      <c r="F74" s="84"/>
      <c r="G74" s="27">
        <f t="shared" si="5"/>
        <v>0</v>
      </c>
      <c r="H74" s="27"/>
      <c r="I74" s="27"/>
      <c r="J74" s="27"/>
      <c r="K74" s="27"/>
      <c r="L74" s="46">
        <f t="shared" si="6"/>
        <v>0</v>
      </c>
      <c r="M74" s="8"/>
      <c r="N74" s="175"/>
      <c r="O74" s="6"/>
    </row>
    <row r="75" spans="2:15" s="47" customFormat="1" ht="15" customHeight="1" hidden="1">
      <c r="B75" s="39" t="s">
        <v>26</v>
      </c>
      <c r="C75" s="37"/>
      <c r="D75" s="37"/>
      <c r="E75" s="37"/>
      <c r="F75" s="84"/>
      <c r="G75" s="27">
        <f>SUM(H75:K75)</f>
        <v>0</v>
      </c>
      <c r="H75" s="27"/>
      <c r="I75" s="27"/>
      <c r="J75" s="27"/>
      <c r="K75" s="27"/>
      <c r="L75" s="82">
        <f t="shared" si="6"/>
        <v>0</v>
      </c>
      <c r="M75" s="8"/>
      <c r="N75" s="175"/>
      <c r="O75" s="6"/>
    </row>
    <row r="76" spans="2:15" s="50" customFormat="1" ht="15" customHeight="1" hidden="1">
      <c r="B76" s="1" t="s">
        <v>27</v>
      </c>
      <c r="C76" s="72"/>
      <c r="D76" s="72"/>
      <c r="E76" s="72"/>
      <c r="F76" s="72"/>
      <c r="G76" s="27">
        <f t="shared" si="5"/>
        <v>0</v>
      </c>
      <c r="H76" s="27"/>
      <c r="I76" s="27"/>
      <c r="J76" s="27"/>
      <c r="K76" s="27"/>
      <c r="L76" s="46">
        <f>G76/7296</f>
        <v>0</v>
      </c>
      <c r="M76" s="8">
        <f>G76/7296</f>
        <v>0</v>
      </c>
      <c r="N76" s="180"/>
      <c r="O76" s="54"/>
    </row>
    <row r="77" spans="2:12" ht="36.75" customHeight="1">
      <c r="B77" s="225" t="s">
        <v>156</v>
      </c>
      <c r="C77" s="225"/>
      <c r="D77" s="225"/>
      <c r="E77" s="227"/>
      <c r="F77" s="225" t="s">
        <v>157</v>
      </c>
      <c r="G77" s="226"/>
      <c r="H77" s="7"/>
      <c r="I77" s="89"/>
      <c r="J77" s="7"/>
      <c r="K77" s="7"/>
      <c r="L77" s="90"/>
    </row>
    <row r="78" spans="2:12" ht="24.75" customHeight="1">
      <c r="B78" s="6" t="s">
        <v>144</v>
      </c>
      <c r="C78" s="6"/>
      <c r="D78" s="6"/>
      <c r="E78" s="125"/>
      <c r="F78" s="144" t="str">
        <f>' (смета)'!F81</f>
        <v>А.Р. Саттарова</v>
      </c>
      <c r="G78" s="143"/>
      <c r="H78" s="7"/>
      <c r="I78" s="7"/>
      <c r="J78" s="7"/>
      <c r="K78" s="7"/>
      <c r="L78" s="92" t="e">
        <f>L20-L22-L27-L28-L29-L42-L43-L48-L54-L58</f>
        <v>#VALUE!</v>
      </c>
    </row>
    <row r="79" spans="2:12" ht="24.75" customHeight="1">
      <c r="B79" s="6"/>
      <c r="C79" s="6"/>
      <c r="D79" s="6"/>
      <c r="E79" s="6"/>
      <c r="F79" s="6"/>
      <c r="G79" s="7"/>
      <c r="H79" s="7"/>
      <c r="I79" s="7"/>
      <c r="J79" s="7"/>
      <c r="K79" s="93"/>
      <c r="L79" s="92"/>
    </row>
    <row r="80" spans="2:12" ht="24.75" customHeight="1" hidden="1">
      <c r="B80" s="6"/>
      <c r="C80" s="6"/>
      <c r="D80" s="6"/>
      <c r="E80" s="6"/>
      <c r="F80" s="6"/>
      <c r="G80" s="7"/>
      <c r="H80" s="7"/>
      <c r="I80" s="7"/>
      <c r="J80" s="7"/>
      <c r="K80" s="93"/>
      <c r="L80" s="92"/>
    </row>
    <row r="81" spans="2:11" ht="18.75" customHeight="1">
      <c r="B81" s="6"/>
      <c r="C81" s="6"/>
      <c r="D81" s="6"/>
      <c r="E81" s="18"/>
      <c r="F81" s="202"/>
      <c r="H81" s="202"/>
      <c r="I81" s="94"/>
      <c r="J81" s="7"/>
      <c r="K81" s="7"/>
    </row>
    <row r="82" spans="9:11" ht="12.75" customHeight="1">
      <c r="I82" s="94"/>
      <c r="J82" s="7"/>
      <c r="K82" s="7"/>
    </row>
    <row r="83" spans="9:11" ht="18.75" customHeight="1">
      <c r="I83" s="94"/>
      <c r="J83" s="7"/>
      <c r="K83" s="7"/>
    </row>
    <row r="84" spans="9:13" ht="12.75" customHeight="1">
      <c r="I84" s="94"/>
      <c r="L84" s="95" t="e">
        <f>L22+L27+L29+L43+L48+L54+L58+L28+L24</f>
        <v>#VALUE!</v>
      </c>
      <c r="M84" s="96" t="e">
        <f>M22+M27+M29+M43+M48+M54+M58+M28+M24</f>
        <v>#VALUE!</v>
      </c>
    </row>
    <row r="85" ht="12.75" customHeight="1">
      <c r="I85" s="94"/>
    </row>
    <row r="86" spans="3:12" ht="12.75" customHeight="1">
      <c r="C86" s="97"/>
      <c r="L86" s="98"/>
    </row>
    <row r="87" ht="12.75" customHeight="1">
      <c r="I87" s="94"/>
    </row>
    <row r="88" ht="12.75" customHeight="1">
      <c r="I88" s="94"/>
    </row>
    <row r="89" ht="12.75" customHeight="1">
      <c r="I89" s="94"/>
    </row>
    <row r="90" ht="12.75" customHeight="1">
      <c r="I90" s="94"/>
    </row>
    <row r="91" ht="12.75" customHeight="1">
      <c r="I91" s="94"/>
    </row>
    <row r="92" ht="12.75" customHeight="1">
      <c r="I92" s="94"/>
    </row>
    <row r="93" ht="12.75" customHeight="1">
      <c r="I93" s="94"/>
    </row>
    <row r="94" ht="12.75" customHeight="1">
      <c r="I94" s="94"/>
    </row>
  </sheetData>
  <sheetProtection/>
  <mergeCells count="8">
    <mergeCell ref="B49:D49"/>
    <mergeCell ref="B2:K2"/>
    <mergeCell ref="B3:K3"/>
    <mergeCell ref="P3:S3"/>
    <mergeCell ref="B7:D7"/>
    <mergeCell ref="H18:I18"/>
    <mergeCell ref="J18:K18"/>
    <mergeCell ref="N18:N19"/>
  </mergeCells>
  <printOptions/>
  <pageMargins left="0.5905511811023623" right="0.1968503937007874" top="0.17" bottom="0.16" header="0" footer="0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1"/>
  <sheetViews>
    <sheetView view="pageBreakPreview" zoomScale="90" zoomScaleSheetLayoutView="90" zoomScalePageLayoutView="0" workbookViewId="0" topLeftCell="A1">
      <selection activeCell="D47" sqref="D47"/>
    </sheetView>
  </sheetViews>
  <sheetFormatPr defaultColWidth="9.00390625" defaultRowHeight="12.75"/>
  <cols>
    <col min="1" max="1" width="2.375" style="88" customWidth="1"/>
    <col min="2" max="2" width="4.75390625" style="88" customWidth="1"/>
    <col min="3" max="3" width="44.25390625" style="88" customWidth="1"/>
    <col min="4" max="4" width="17.625" style="88" customWidth="1"/>
    <col min="5" max="5" width="13.375" style="88" hidden="1" customWidth="1"/>
    <col min="6" max="7" width="9.125" style="88" customWidth="1"/>
    <col min="8" max="8" width="11.625" style="88" customWidth="1"/>
    <col min="9" max="16384" width="9.125" style="88" customWidth="1"/>
  </cols>
  <sheetData>
    <row r="2" spans="2:7" ht="15.75">
      <c r="B2" s="6"/>
      <c r="C2" s="6"/>
      <c r="D2" s="6" t="s">
        <v>57</v>
      </c>
      <c r="E2" s="6"/>
      <c r="F2" s="6"/>
      <c r="G2" s="6"/>
    </row>
    <row r="3" spans="2:7" ht="48.75" customHeight="1">
      <c r="B3" s="6"/>
      <c r="C3" s="6"/>
      <c r="D3" s="319" t="str">
        <f>' (смета)'!C5</f>
        <v>"Центр дополнительного образования детей им.В.Волошиной"</v>
      </c>
      <c r="E3" s="319"/>
      <c r="F3" s="319"/>
      <c r="G3" s="319"/>
    </row>
    <row r="4" spans="2:7" ht="15.75">
      <c r="B4" s="6"/>
      <c r="C4" s="6"/>
      <c r="D4" s="125"/>
      <c r="E4" s="6"/>
      <c r="F4" s="6" t="str">
        <f>' (смета)'!F80</f>
        <v> И.П. Чередова</v>
      </c>
      <c r="G4" s="6"/>
    </row>
    <row r="5" spans="2:7" ht="15.75">
      <c r="B5" s="6"/>
      <c r="C5" s="6"/>
      <c r="D5" s="6"/>
      <c r="E5" s="6"/>
      <c r="F5" s="6"/>
      <c r="G5" s="6"/>
    </row>
    <row r="6" spans="2:10" ht="15.75">
      <c r="B6" s="6"/>
      <c r="C6" s="6"/>
      <c r="D6" s="126" t="s">
        <v>221</v>
      </c>
      <c r="E6" s="126"/>
      <c r="F6" s="126"/>
      <c r="G6" s="6"/>
      <c r="H6" s="203"/>
      <c r="I6" s="204"/>
      <c r="J6" s="204"/>
    </row>
    <row r="7" spans="2:7" ht="15.75">
      <c r="B7" s="6"/>
      <c r="C7" s="6"/>
      <c r="D7" s="6"/>
      <c r="E7" s="6"/>
      <c r="F7" s="6"/>
      <c r="G7" s="6"/>
    </row>
    <row r="8" spans="2:7" ht="15.75">
      <c r="B8" s="322" t="s">
        <v>58</v>
      </c>
      <c r="C8" s="322"/>
      <c r="D8" s="322"/>
      <c r="E8" s="6"/>
      <c r="F8" s="6"/>
      <c r="G8" s="6"/>
    </row>
    <row r="9" spans="2:7" ht="15.75">
      <c r="B9" s="323" t="s">
        <v>134</v>
      </c>
      <c r="C9" s="323"/>
      <c r="D9" s="323"/>
      <c r="E9" s="175"/>
      <c r="F9" s="6"/>
      <c r="G9" s="6"/>
    </row>
    <row r="10" spans="2:7" ht="18.75">
      <c r="B10" s="286"/>
      <c r="C10" s="175" t="str">
        <f>' (смета) (2)'!E7</f>
        <v>"Групповые занятия 3-5 лет"</v>
      </c>
      <c r="D10" s="286"/>
      <c r="E10" s="286" t="s">
        <v>198</v>
      </c>
      <c r="F10" s="44"/>
      <c r="G10" s="6"/>
    </row>
    <row r="11" spans="2:7" ht="15.75">
      <c r="B11" s="324" t="str">
        <f>' (смета)'!B3:K3</f>
        <v>                 на  2023-2024 учебный год  (сентябрь -май)</v>
      </c>
      <c r="C11" s="324"/>
      <c r="D11" s="324"/>
      <c r="E11" s="324"/>
      <c r="F11" s="6"/>
      <c r="G11" s="6"/>
    </row>
    <row r="12" spans="2:5" ht="24.75" customHeight="1">
      <c r="B12" s="127" t="s">
        <v>59</v>
      </c>
      <c r="C12" s="127" t="s">
        <v>60</v>
      </c>
      <c r="D12" s="127" t="s">
        <v>93</v>
      </c>
      <c r="E12" s="205" t="s">
        <v>62</v>
      </c>
    </row>
    <row r="13" spans="2:5" ht="16.5" customHeight="1">
      <c r="B13" s="206">
        <v>1</v>
      </c>
      <c r="C13" s="207" t="s">
        <v>61</v>
      </c>
      <c r="D13" s="128">
        <f>SUM(D14:D23)</f>
        <v>604800</v>
      </c>
      <c r="E13" s="208">
        <f>SUM(E14:E22)</f>
        <v>0</v>
      </c>
    </row>
    <row r="14" spans="2:5" ht="15.75">
      <c r="B14" s="209" t="s">
        <v>63</v>
      </c>
      <c r="C14" s="130" t="s">
        <v>72</v>
      </c>
      <c r="D14" s="27">
        <f>'резерв отпускных (2)'!D14</f>
        <v>409029</v>
      </c>
      <c r="E14" s="210"/>
    </row>
    <row r="15" spans="2:5" ht="15.75">
      <c r="B15" s="209" t="s">
        <v>64</v>
      </c>
      <c r="C15" s="130" t="s">
        <v>73</v>
      </c>
      <c r="D15" s="27">
        <f>'резерв отпускных (2)'!D15</f>
        <v>123527</v>
      </c>
      <c r="E15" s="210"/>
    </row>
    <row r="16" spans="2:5" ht="15.75">
      <c r="B16" s="209" t="s">
        <v>65</v>
      </c>
      <c r="C16" s="130" t="s">
        <v>74</v>
      </c>
      <c r="D16" s="27">
        <f>'резерв отпускных (2)'!D13-1</f>
        <v>72244</v>
      </c>
      <c r="E16" s="210"/>
    </row>
    <row r="17" spans="2:5" ht="15.75" hidden="1">
      <c r="B17" s="209" t="s">
        <v>66</v>
      </c>
      <c r="C17" s="130"/>
      <c r="D17" s="129"/>
      <c r="E17" s="210"/>
    </row>
    <row r="18" spans="2:5" ht="15.75" hidden="1">
      <c r="B18" s="209" t="s">
        <v>67</v>
      </c>
      <c r="C18" s="130"/>
      <c r="D18" s="129"/>
      <c r="E18" s="210"/>
    </row>
    <row r="19" spans="2:5" ht="15.75" hidden="1">
      <c r="B19" s="209" t="s">
        <v>68</v>
      </c>
      <c r="C19" s="130"/>
      <c r="D19" s="129"/>
      <c r="E19" s="210"/>
    </row>
    <row r="20" spans="2:5" ht="15.75" hidden="1">
      <c r="B20" s="209" t="s">
        <v>69</v>
      </c>
      <c r="C20" s="130"/>
      <c r="D20" s="129"/>
      <c r="E20" s="210"/>
    </row>
    <row r="21" spans="2:5" ht="25.5" customHeight="1" hidden="1">
      <c r="B21" s="209" t="s">
        <v>70</v>
      </c>
      <c r="C21" s="130"/>
      <c r="D21" s="130"/>
      <c r="E21" s="210"/>
    </row>
    <row r="22" spans="2:5" ht="15.75" hidden="1">
      <c r="B22" s="209" t="s">
        <v>71</v>
      </c>
      <c r="C22" s="130"/>
      <c r="D22" s="130"/>
      <c r="E22" s="210"/>
    </row>
    <row r="23" spans="2:5" ht="15.75" hidden="1">
      <c r="B23" s="211"/>
      <c r="C23" s="130"/>
      <c r="D23" s="129"/>
      <c r="E23" s="210"/>
    </row>
    <row r="24" spans="2:5" ht="15.75">
      <c r="B24" s="206">
        <v>2</v>
      </c>
      <c r="C24" s="207" t="s">
        <v>75</v>
      </c>
      <c r="D24" s="131">
        <f>D25+D36+D41+D42+D40+D39+D37+D38</f>
        <v>403200</v>
      </c>
      <c r="E24" s="208">
        <f>E25+E36+E39+E40+E41+E42</f>
        <v>0</v>
      </c>
    </row>
    <row r="25" spans="2:5" ht="31.5" hidden="1">
      <c r="B25" s="209" t="s">
        <v>76</v>
      </c>
      <c r="C25" s="212" t="s">
        <v>102</v>
      </c>
      <c r="D25" s="27">
        <f>D26+D35</f>
        <v>0</v>
      </c>
      <c r="E25" s="210">
        <f>E26+E35</f>
        <v>0</v>
      </c>
    </row>
    <row r="26" spans="2:5" ht="15.75" hidden="1">
      <c r="B26" s="209" t="s">
        <v>82</v>
      </c>
      <c r="C26" s="59" t="s">
        <v>72</v>
      </c>
      <c r="D26" s="27">
        <f>SUM(D27:D34)</f>
        <v>0</v>
      </c>
      <c r="E26" s="210">
        <f>SUM(E27:E34)</f>
        <v>0</v>
      </c>
    </row>
    <row r="27" spans="2:5" ht="15.75" hidden="1">
      <c r="B27" s="209"/>
      <c r="C27" s="59" t="s">
        <v>99</v>
      </c>
      <c r="D27" s="27"/>
      <c r="E27" s="210"/>
    </row>
    <row r="28" spans="2:5" ht="15.75" hidden="1">
      <c r="B28" s="209"/>
      <c r="C28" s="59" t="s">
        <v>86</v>
      </c>
      <c r="D28" s="129"/>
      <c r="E28" s="210"/>
    </row>
    <row r="29" spans="2:5" ht="15.75" hidden="1">
      <c r="B29" s="209"/>
      <c r="C29" s="59" t="s">
        <v>84</v>
      </c>
      <c r="D29" s="129"/>
      <c r="E29" s="210"/>
    </row>
    <row r="30" spans="2:5" ht="15.75" hidden="1">
      <c r="B30" s="209"/>
      <c r="C30" s="59" t="s">
        <v>85</v>
      </c>
      <c r="D30" s="129"/>
      <c r="E30" s="210"/>
    </row>
    <row r="31" spans="2:5" ht="15.75" hidden="1">
      <c r="B31" s="209"/>
      <c r="C31" s="59" t="s">
        <v>100</v>
      </c>
      <c r="D31" s="27">
        <f>+' (смета)'!G55/1.271</f>
        <v>0</v>
      </c>
      <c r="E31" s="210"/>
    </row>
    <row r="32" spans="2:5" ht="15.75" hidden="1">
      <c r="B32" s="209"/>
      <c r="C32" s="59" t="s">
        <v>87</v>
      </c>
      <c r="D32" s="129"/>
      <c r="E32" s="210"/>
    </row>
    <row r="33" spans="2:5" ht="15.75" hidden="1">
      <c r="B33" s="209"/>
      <c r="C33" s="59" t="s">
        <v>88</v>
      </c>
      <c r="D33" s="129"/>
      <c r="E33" s="210"/>
    </row>
    <row r="34" spans="2:5" ht="15.75" hidden="1">
      <c r="B34" s="209"/>
      <c r="C34" s="59" t="s">
        <v>89</v>
      </c>
      <c r="D34" s="129"/>
      <c r="E34" s="210"/>
    </row>
    <row r="35" spans="2:5" ht="15.75" hidden="1">
      <c r="B35" s="209" t="s">
        <v>83</v>
      </c>
      <c r="C35" s="59" t="s">
        <v>73</v>
      </c>
      <c r="D35" s="27">
        <f>D26*27.1%</f>
        <v>0</v>
      </c>
      <c r="E35" s="210">
        <f>E26*26.2%</f>
        <v>0</v>
      </c>
    </row>
    <row r="36" spans="2:5" ht="15.75">
      <c r="B36" s="209" t="s">
        <v>77</v>
      </c>
      <c r="C36" s="130" t="s">
        <v>90</v>
      </c>
      <c r="D36" s="27">
        <f>' (смета) (2)'!G29</f>
        <v>100800</v>
      </c>
      <c r="E36" s="210"/>
    </row>
    <row r="37" spans="2:5" ht="31.5" customHeight="1">
      <c r="B37" s="213" t="s">
        <v>78</v>
      </c>
      <c r="C37" s="214" t="s">
        <v>104</v>
      </c>
      <c r="D37" s="27">
        <f>' (смета) (2)'!G49</f>
        <v>50400</v>
      </c>
      <c r="E37" s="210"/>
    </row>
    <row r="38" spans="2:5" ht="16.5" customHeight="1">
      <c r="B38" s="213" t="s">
        <v>79</v>
      </c>
      <c r="C38" s="214" t="s">
        <v>135</v>
      </c>
      <c r="D38" s="27">
        <f>' (смета) (2)'!G50</f>
        <v>13104</v>
      </c>
      <c r="E38" s="210"/>
    </row>
    <row r="39" spans="2:5" ht="15.75">
      <c r="B39" s="209" t="s">
        <v>80</v>
      </c>
      <c r="C39" s="130" t="s">
        <v>97</v>
      </c>
      <c r="D39" s="27">
        <f>' (смета) (2)'!G71</f>
        <v>0</v>
      </c>
      <c r="E39" s="210"/>
    </row>
    <row r="40" spans="2:5" ht="15.75">
      <c r="B40" s="209" t="s">
        <v>81</v>
      </c>
      <c r="C40" s="39" t="s">
        <v>136</v>
      </c>
      <c r="D40" s="132">
        <f>+' (смета) (2)'!G72</f>
        <v>0</v>
      </c>
      <c r="E40" s="37"/>
    </row>
    <row r="41" spans="2:5" ht="15.75">
      <c r="B41" s="209" t="s">
        <v>95</v>
      </c>
      <c r="C41" s="130" t="s">
        <v>137</v>
      </c>
      <c r="D41" s="129">
        <f>' (смета) (2)'!G60</f>
        <v>238896</v>
      </c>
      <c r="E41" s="210"/>
    </row>
    <row r="42" spans="2:5" ht="15.75">
      <c r="B42" s="209" t="s">
        <v>109</v>
      </c>
      <c r="C42" s="212" t="s">
        <v>138</v>
      </c>
      <c r="D42" s="129">
        <f>' (смета) (2)'!G73</f>
        <v>0</v>
      </c>
      <c r="E42" s="210"/>
    </row>
    <row r="43" spans="2:5" ht="18.75" customHeight="1">
      <c r="B43" s="206">
        <v>3</v>
      </c>
      <c r="C43" s="207" t="s">
        <v>91</v>
      </c>
      <c r="D43" s="131">
        <f>D13+D24</f>
        <v>1008000</v>
      </c>
      <c r="E43" s="208">
        <f>E13+E24</f>
        <v>0</v>
      </c>
    </row>
    <row r="44" spans="2:5" ht="15.75">
      <c r="B44" s="211"/>
      <c r="C44" s="130"/>
      <c r="D44" s="129"/>
      <c r="E44" s="210"/>
    </row>
    <row r="45" spans="2:5" ht="15.75">
      <c r="B45" s="211">
        <v>4</v>
      </c>
      <c r="C45" s="130" t="s">
        <v>92</v>
      </c>
      <c r="D45" s="27">
        <f>' (смета) (2)'!E9</f>
        <v>40</v>
      </c>
      <c r="E45" s="210"/>
    </row>
    <row r="46" spans="2:5" ht="15.75">
      <c r="B46" s="211">
        <v>5</v>
      </c>
      <c r="C46" s="130" t="s">
        <v>139</v>
      </c>
      <c r="D46" s="27">
        <f>' (смета) (2)'!E13</f>
        <v>288</v>
      </c>
      <c r="E46" s="210"/>
    </row>
    <row r="47" spans="2:5" ht="15.75">
      <c r="B47" s="206">
        <v>6</v>
      </c>
      <c r="C47" s="207" t="s">
        <v>140</v>
      </c>
      <c r="D47" s="257">
        <f>D43/D45/D46</f>
        <v>87.5</v>
      </c>
      <c r="E47" s="208"/>
    </row>
    <row r="48" spans="2:4" ht="15.75">
      <c r="B48" s="6"/>
      <c r="C48" s="6"/>
      <c r="D48" s="6"/>
    </row>
    <row r="49" spans="2:8" ht="15.75">
      <c r="B49" s="6" t="s">
        <v>151</v>
      </c>
      <c r="C49" s="7" t="str">
        <f>' (смета) (2)'!F78</f>
        <v>А.Р. Саттарова</v>
      </c>
      <c r="D49" s="6"/>
      <c r="E49" s="125"/>
      <c r="F49" s="18"/>
      <c r="G49" s="320"/>
      <c r="H49" s="320"/>
    </row>
    <row r="50" spans="2:8" ht="15.75">
      <c r="B50" s="6"/>
      <c r="C50" s="6"/>
      <c r="D50" s="6"/>
      <c r="E50" s="6"/>
      <c r="F50" s="6"/>
      <c r="G50" s="7"/>
      <c r="H50" s="7"/>
    </row>
    <row r="51" spans="2:8" ht="15.75">
      <c r="B51" s="6"/>
      <c r="C51" s="6"/>
      <c r="D51" s="6"/>
      <c r="E51" s="125"/>
      <c r="F51" s="18"/>
      <c r="G51" s="321"/>
      <c r="H51" s="321"/>
    </row>
  </sheetData>
  <sheetProtection/>
  <mergeCells count="6">
    <mergeCell ref="G51:H51"/>
    <mergeCell ref="D3:G3"/>
    <mergeCell ref="B8:D8"/>
    <mergeCell ref="B9:D9"/>
    <mergeCell ref="B11:E11"/>
    <mergeCell ref="G49:H4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"/>
  <sheetViews>
    <sheetView view="pageBreakPreview" zoomScale="90" zoomScaleSheetLayoutView="90" zoomScalePageLayoutView="0" workbookViewId="0" topLeftCell="A1">
      <selection activeCell="D16" sqref="D10:D16"/>
    </sheetView>
  </sheetViews>
  <sheetFormatPr defaultColWidth="9.00390625" defaultRowHeight="12.75"/>
  <cols>
    <col min="1" max="1" width="2.375" style="6" customWidth="1"/>
    <col min="2" max="2" width="7.875" style="6" customWidth="1"/>
    <col min="3" max="3" width="53.75390625" style="6" customWidth="1"/>
    <col min="4" max="4" width="17.875" style="6" customWidth="1"/>
    <col min="5" max="5" width="4.625" style="6" customWidth="1"/>
    <col min="6" max="7" width="9.125" style="6" customWidth="1"/>
    <col min="8" max="8" width="9.375" style="6" customWidth="1"/>
    <col min="9" max="16384" width="9.125" style="6" customWidth="1"/>
  </cols>
  <sheetData>
    <row r="1" ht="15.75"/>
    <row r="2" spans="2:5" ht="15.75">
      <c r="B2" s="316" t="str">
        <f>' (смета) (2)'!C4</f>
        <v>Муниципальное бюджетное образовательное учреждение  дополнительного образования        </v>
      </c>
      <c r="C2" s="316"/>
      <c r="D2" s="316"/>
      <c r="E2" s="134"/>
    </row>
    <row r="3" spans="2:5" ht="15.75">
      <c r="B3" s="317" t="str">
        <f>' (смета) (2)'!C5</f>
        <v>"Центр дополнительного образования детей им.В.Волошиной"</v>
      </c>
      <c r="C3" s="317"/>
      <c r="D3" s="317"/>
      <c r="E3" s="134"/>
    </row>
    <row r="4" ht="15.75">
      <c r="C4" s="173"/>
    </row>
    <row r="5" spans="2:5" ht="15.75">
      <c r="B5" s="318" t="s">
        <v>152</v>
      </c>
      <c r="C5" s="318"/>
      <c r="D5" s="318"/>
      <c r="E5" s="200"/>
    </row>
    <row r="6" spans="2:5" ht="15.75">
      <c r="B6" s="200"/>
      <c r="C6" s="200" t="str">
        <f>' (смета)'!B3</f>
        <v>                 на  2023-2024 учебный год  (сентябрь -май)</v>
      </c>
      <c r="D6" s="200"/>
      <c r="E6" s="200"/>
    </row>
    <row r="7" spans="2:5" ht="15.75" customHeight="1">
      <c r="B7" s="326" t="str">
        <f>' (смета) (2)'!E7</f>
        <v>"Групповые занятия 3-5 лет"</v>
      </c>
      <c r="C7" s="318"/>
      <c r="D7" s="318"/>
      <c r="E7" s="134"/>
    </row>
    <row r="8" spans="3:5" s="5" customFormat="1" ht="15.75">
      <c r="C8" s="221"/>
      <c r="D8" s="221"/>
      <c r="E8" s="222"/>
    </row>
    <row r="9" spans="2:7" ht="33" customHeight="1">
      <c r="B9" s="215" t="s">
        <v>110</v>
      </c>
      <c r="C9" s="127" t="s">
        <v>111</v>
      </c>
      <c r="D9" s="127" t="s">
        <v>112</v>
      </c>
      <c r="E9" s="135"/>
      <c r="F9" s="175" t="s">
        <v>146</v>
      </c>
      <c r="G9" s="175" t="s">
        <v>147</v>
      </c>
    </row>
    <row r="10" spans="2:7" ht="23.25" customHeight="1">
      <c r="B10" s="127">
        <v>1</v>
      </c>
      <c r="C10" s="216" t="s">
        <v>113</v>
      </c>
      <c r="D10" s="217">
        <f>(' (смета) (2)'!G23/9)/29.3*F10</f>
        <v>55488.38</v>
      </c>
      <c r="E10" s="133"/>
      <c r="F10" s="218">
        <f>42/12*9</f>
        <v>31.5</v>
      </c>
      <c r="G10" s="218">
        <f>F10/9</f>
        <v>3.5</v>
      </c>
    </row>
    <row r="11" spans="2:5" ht="33" customHeight="1">
      <c r="B11" s="127">
        <v>2</v>
      </c>
      <c r="C11" s="219" t="s">
        <v>116</v>
      </c>
      <c r="D11" s="136">
        <f>D10*30.2%-1</f>
        <v>16756.49</v>
      </c>
      <c r="E11" s="137"/>
    </row>
    <row r="12" spans="2:5" ht="33" customHeight="1" hidden="1">
      <c r="B12" s="127">
        <v>3</v>
      </c>
      <c r="C12" s="219" t="s">
        <v>117</v>
      </c>
      <c r="D12" s="136"/>
      <c r="E12" s="137"/>
    </row>
    <row r="13" spans="2:5" ht="54" customHeight="1">
      <c r="B13" s="127">
        <v>3</v>
      </c>
      <c r="C13" s="219" t="s">
        <v>118</v>
      </c>
      <c r="D13" s="136">
        <f>D10+D11-D12</f>
        <v>72244.87</v>
      </c>
      <c r="E13" s="137"/>
    </row>
    <row r="14" spans="2:5" ht="33" customHeight="1">
      <c r="B14" s="127">
        <v>4</v>
      </c>
      <c r="C14" s="219" t="s">
        <v>114</v>
      </c>
      <c r="D14" s="141">
        <f>' (смета) (2)'!G23-D10</f>
        <v>409028.62</v>
      </c>
      <c r="E14" s="133"/>
    </row>
    <row r="15" spans="2:5" ht="33" customHeight="1">
      <c r="B15" s="127">
        <v>5</v>
      </c>
      <c r="C15" s="219" t="s">
        <v>119</v>
      </c>
      <c r="D15" s="136">
        <f>D14*30.2%</f>
        <v>123526.64</v>
      </c>
      <c r="E15" s="137"/>
    </row>
    <row r="16" spans="2:5" ht="33" customHeight="1">
      <c r="B16" s="127">
        <v>6</v>
      </c>
      <c r="C16" s="219" t="s">
        <v>120</v>
      </c>
      <c r="D16" s="136">
        <f>D14+D15</f>
        <v>532555.26</v>
      </c>
      <c r="E16" s="137"/>
    </row>
    <row r="17" spans="2:5" ht="33" customHeight="1">
      <c r="B17" s="127">
        <v>7</v>
      </c>
      <c r="C17" s="219" t="s">
        <v>121</v>
      </c>
      <c r="D17" s="220">
        <f>D13/D16</f>
        <v>0.1357</v>
      </c>
      <c r="E17" s="138"/>
    </row>
    <row r="18" spans="2:5" ht="49.5" customHeight="1">
      <c r="B18" s="127">
        <v>8</v>
      </c>
      <c r="C18" s="219" t="s">
        <v>122</v>
      </c>
      <c r="D18" s="139" t="s">
        <v>115</v>
      </c>
      <c r="E18" s="140"/>
    </row>
    <row r="20" spans="2:4" ht="15.75">
      <c r="B20" s="6" t="s">
        <v>216</v>
      </c>
      <c r="D20" s="7" t="str">
        <f>'калькуляция (2)'!C49</f>
        <v>А.Р. Саттарова</v>
      </c>
    </row>
  </sheetData>
  <sheetProtection/>
  <mergeCells count="4">
    <mergeCell ref="B2:D2"/>
    <mergeCell ref="B3:D3"/>
    <mergeCell ref="B5:D5"/>
    <mergeCell ref="B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D14" sqref="D14"/>
    </sheetView>
  </sheetViews>
  <sheetFormatPr defaultColWidth="9.00390625" defaultRowHeight="12.75"/>
  <cols>
    <col min="2" max="2" width="37.375" style="0" customWidth="1"/>
    <col min="3" max="3" width="9.00390625" style="0" customWidth="1"/>
    <col min="4" max="4" width="12.875" style="0" customWidth="1"/>
    <col min="5" max="5" width="9.625" style="0" bestFit="1" customWidth="1"/>
    <col min="15" max="15" width="12.75390625" style="0" customWidth="1"/>
  </cols>
  <sheetData>
    <row r="1" spans="1:12" ht="75">
      <c r="A1" s="229"/>
      <c r="B1" s="230"/>
      <c r="C1" s="231" t="s">
        <v>162</v>
      </c>
      <c r="D1" s="261" t="s">
        <v>223</v>
      </c>
      <c r="E1" s="261" t="s">
        <v>224</v>
      </c>
      <c r="F1" s="232" t="s">
        <v>225</v>
      </c>
      <c r="G1" s="232" t="s">
        <v>226</v>
      </c>
      <c r="H1" s="232" t="s">
        <v>227</v>
      </c>
      <c r="I1" s="233" t="s">
        <v>228</v>
      </c>
      <c r="J1" s="233" t="s">
        <v>229</v>
      </c>
      <c r="K1" s="234" t="s">
        <v>230</v>
      </c>
      <c r="L1" s="233" t="s">
        <v>231</v>
      </c>
    </row>
    <row r="2" spans="1:12" ht="15">
      <c r="A2" s="327" t="s">
        <v>163</v>
      </c>
      <c r="B2" s="328"/>
      <c r="C2" s="235">
        <v>6</v>
      </c>
      <c r="D2" s="236">
        <f>$D$16/$C$11*C2</f>
        <v>0</v>
      </c>
      <c r="E2" s="236">
        <f>$E$16/$C$11*C2</f>
        <v>0</v>
      </c>
      <c r="F2" s="236">
        <f>$F$16/$C$11*C2</f>
        <v>0</v>
      </c>
      <c r="G2" s="236">
        <f>$G$16/$C$11*C2</f>
        <v>0</v>
      </c>
      <c r="H2" s="236">
        <f>$H$16/$C$11*C2</f>
        <v>0</v>
      </c>
      <c r="I2" s="236">
        <f>$I$16/$C$11*C2</f>
        <v>0</v>
      </c>
      <c r="J2" s="236">
        <f>$J$16/$C$11*C2</f>
        <v>0</v>
      </c>
      <c r="K2" s="236">
        <f>$K$16/$C$11*C2</f>
        <v>0</v>
      </c>
      <c r="L2" s="236">
        <f>$L$16/$C$11*C2</f>
        <v>0</v>
      </c>
    </row>
    <row r="3" spans="1:15" ht="15">
      <c r="A3" s="327" t="s">
        <v>164</v>
      </c>
      <c r="B3" s="328"/>
      <c r="C3" s="235">
        <v>5</v>
      </c>
      <c r="D3" s="236">
        <f aca="true" t="shared" si="0" ref="D3:D10">$D$16/$C$11*C3</f>
        <v>0</v>
      </c>
      <c r="E3" s="236">
        <f aca="true" t="shared" si="1" ref="E3:E10">$E$16/$C$11*C3</f>
        <v>0</v>
      </c>
      <c r="F3" s="236">
        <f aca="true" t="shared" si="2" ref="F3:F10">$F$16/$C$11*C3</f>
        <v>0</v>
      </c>
      <c r="G3" s="236">
        <f aca="true" t="shared" si="3" ref="G3:G10">$G$16/$C$11*C3</f>
        <v>0</v>
      </c>
      <c r="H3" s="236">
        <f aca="true" t="shared" si="4" ref="H3:H10">$H$16/$C$11*C3</f>
        <v>0</v>
      </c>
      <c r="I3" s="236">
        <f aca="true" t="shared" si="5" ref="I3:I10">$I$16/$C$11*C3</f>
        <v>0</v>
      </c>
      <c r="J3" s="236">
        <f aca="true" t="shared" si="6" ref="J3:J10">$J$16/$C$11*C3</f>
        <v>0</v>
      </c>
      <c r="K3" s="236">
        <f aca="true" t="shared" si="7" ref="K3:K10">$K$16/$C$11*C3</f>
        <v>0</v>
      </c>
      <c r="L3" s="236">
        <f aca="true" t="shared" si="8" ref="L3:L10">$L$16/$C$11*C3</f>
        <v>0</v>
      </c>
      <c r="O3">
        <f>' (смета) (2)'!H10</f>
        <v>87.5</v>
      </c>
    </row>
    <row r="4" spans="1:12" ht="15">
      <c r="A4" s="327" t="s">
        <v>165</v>
      </c>
      <c r="B4" s="328"/>
      <c r="C4" s="235">
        <v>6</v>
      </c>
      <c r="D4" s="236">
        <f t="shared" si="0"/>
        <v>0</v>
      </c>
      <c r="E4" s="236">
        <f t="shared" si="1"/>
        <v>0</v>
      </c>
      <c r="F4" s="236">
        <f t="shared" si="2"/>
        <v>0</v>
      </c>
      <c r="G4" s="236">
        <f t="shared" si="3"/>
        <v>0</v>
      </c>
      <c r="H4" s="236">
        <f t="shared" si="4"/>
        <v>0</v>
      </c>
      <c r="I4" s="236">
        <f t="shared" si="5"/>
        <v>0</v>
      </c>
      <c r="J4" s="236">
        <f t="shared" si="6"/>
        <v>0</v>
      </c>
      <c r="K4" s="236">
        <f t="shared" si="7"/>
        <v>0</v>
      </c>
      <c r="L4" s="236">
        <f t="shared" si="8"/>
        <v>0</v>
      </c>
    </row>
    <row r="5" spans="1:14" ht="15">
      <c r="A5" s="327" t="s">
        <v>166</v>
      </c>
      <c r="B5" s="328"/>
      <c r="C5" s="235">
        <v>6</v>
      </c>
      <c r="D5" s="236">
        <f t="shared" si="0"/>
        <v>0</v>
      </c>
      <c r="E5" s="236">
        <f t="shared" si="1"/>
        <v>0</v>
      </c>
      <c r="F5" s="236">
        <f t="shared" si="2"/>
        <v>0</v>
      </c>
      <c r="G5" s="236">
        <f t="shared" si="3"/>
        <v>0</v>
      </c>
      <c r="H5" s="236">
        <f t="shared" si="4"/>
        <v>0</v>
      </c>
      <c r="I5" s="236">
        <f t="shared" si="5"/>
        <v>0</v>
      </c>
      <c r="J5" s="236">
        <f t="shared" si="6"/>
        <v>0</v>
      </c>
      <c r="K5" s="236">
        <f t="shared" si="7"/>
        <v>0</v>
      </c>
      <c r="L5" s="236">
        <f t="shared" si="8"/>
        <v>0</v>
      </c>
      <c r="N5" t="s">
        <v>142</v>
      </c>
    </row>
    <row r="6" spans="1:18" ht="18" customHeight="1">
      <c r="A6" s="329" t="s">
        <v>183</v>
      </c>
      <c r="B6" s="330"/>
      <c r="C6" s="235">
        <v>6</v>
      </c>
      <c r="D6" s="236">
        <f t="shared" si="0"/>
        <v>0</v>
      </c>
      <c r="E6" s="236">
        <f t="shared" si="1"/>
        <v>0</v>
      </c>
      <c r="F6" s="236">
        <f t="shared" si="2"/>
        <v>0</v>
      </c>
      <c r="G6" s="236">
        <f t="shared" si="3"/>
        <v>0</v>
      </c>
      <c r="H6" s="236">
        <f t="shared" si="4"/>
        <v>0</v>
      </c>
      <c r="I6" s="236">
        <f t="shared" si="5"/>
        <v>0</v>
      </c>
      <c r="J6" s="236">
        <f t="shared" si="6"/>
        <v>0</v>
      </c>
      <c r="K6" s="236">
        <f t="shared" si="7"/>
        <v>0</v>
      </c>
      <c r="L6" s="236">
        <f t="shared" si="8"/>
        <v>0</v>
      </c>
      <c r="N6" t="s">
        <v>123</v>
      </c>
      <c r="O6" s="269">
        <f>' (смета) (2)'!Q23</f>
        <v>24.85</v>
      </c>
      <c r="P6" t="s">
        <v>143</v>
      </c>
      <c r="R6" s="256">
        <v>0.51</v>
      </c>
    </row>
    <row r="7" spans="1:15" ht="15">
      <c r="A7" s="327" t="s">
        <v>168</v>
      </c>
      <c r="B7" s="328"/>
      <c r="C7" s="235">
        <v>2</v>
      </c>
      <c r="D7" s="236">
        <f t="shared" si="0"/>
        <v>0</v>
      </c>
      <c r="E7" s="236">
        <f t="shared" si="1"/>
        <v>0</v>
      </c>
      <c r="F7" s="236">
        <f t="shared" si="2"/>
        <v>0</v>
      </c>
      <c r="G7" s="236">
        <f t="shared" si="3"/>
        <v>0</v>
      </c>
      <c r="H7" s="236">
        <f t="shared" si="4"/>
        <v>0</v>
      </c>
      <c r="I7" s="236">
        <f t="shared" si="5"/>
        <v>0</v>
      </c>
      <c r="J7" s="236">
        <f t="shared" si="6"/>
        <v>0</v>
      </c>
      <c r="K7" s="236">
        <f t="shared" si="7"/>
        <v>0</v>
      </c>
      <c r="L7" s="236">
        <f t="shared" si="8"/>
        <v>0</v>
      </c>
      <c r="O7" s="255"/>
    </row>
    <row r="8" spans="1:18" ht="15">
      <c r="A8" s="327" t="s">
        <v>169</v>
      </c>
      <c r="B8" s="328"/>
      <c r="C8" s="235">
        <v>6</v>
      </c>
      <c r="D8" s="236">
        <f t="shared" si="0"/>
        <v>0</v>
      </c>
      <c r="E8" s="236">
        <f t="shared" si="1"/>
        <v>0</v>
      </c>
      <c r="F8" s="236">
        <f t="shared" si="2"/>
        <v>0</v>
      </c>
      <c r="G8" s="236">
        <f t="shared" si="3"/>
        <v>0</v>
      </c>
      <c r="H8" s="236">
        <f t="shared" si="4"/>
        <v>0</v>
      </c>
      <c r="I8" s="236">
        <f t="shared" si="5"/>
        <v>0</v>
      </c>
      <c r="J8" s="236">
        <f t="shared" si="6"/>
        <v>0</v>
      </c>
      <c r="K8" s="236">
        <f t="shared" si="7"/>
        <v>0</v>
      </c>
      <c r="L8" s="236">
        <f t="shared" si="8"/>
        <v>0</v>
      </c>
      <c r="N8" t="s">
        <v>141</v>
      </c>
      <c r="O8" s="269">
        <f>' (смета) (2)'!Q25</f>
        <v>2.46</v>
      </c>
      <c r="P8" t="s">
        <v>143</v>
      </c>
      <c r="R8" t="s">
        <v>159</v>
      </c>
    </row>
    <row r="9" spans="1:12" ht="15">
      <c r="A9" s="327" t="s">
        <v>167</v>
      </c>
      <c r="B9" s="328"/>
      <c r="C9" s="235">
        <v>6</v>
      </c>
      <c r="D9" s="236">
        <f t="shared" si="0"/>
        <v>0</v>
      </c>
      <c r="E9" s="236">
        <f t="shared" si="1"/>
        <v>0</v>
      </c>
      <c r="F9" s="236">
        <f t="shared" si="2"/>
        <v>0</v>
      </c>
      <c r="G9" s="236">
        <f t="shared" si="3"/>
        <v>0</v>
      </c>
      <c r="H9" s="236">
        <f t="shared" si="4"/>
        <v>0</v>
      </c>
      <c r="I9" s="236">
        <f t="shared" si="5"/>
        <v>0</v>
      </c>
      <c r="J9" s="236">
        <f t="shared" si="6"/>
        <v>0</v>
      </c>
      <c r="K9" s="236">
        <f t="shared" si="7"/>
        <v>0</v>
      </c>
      <c r="L9" s="236">
        <f t="shared" si="8"/>
        <v>0</v>
      </c>
    </row>
    <row r="10" spans="1:12" ht="15">
      <c r="A10" s="327" t="s">
        <v>170</v>
      </c>
      <c r="B10" s="328"/>
      <c r="C10" s="235">
        <v>6</v>
      </c>
      <c r="D10" s="236">
        <f t="shared" si="0"/>
        <v>0</v>
      </c>
      <c r="E10" s="236">
        <f t="shared" si="1"/>
        <v>0</v>
      </c>
      <c r="F10" s="236">
        <f t="shared" si="2"/>
        <v>0</v>
      </c>
      <c r="G10" s="236">
        <f t="shared" si="3"/>
        <v>0</v>
      </c>
      <c r="H10" s="236">
        <f t="shared" si="4"/>
        <v>0</v>
      </c>
      <c r="I10" s="236">
        <f t="shared" si="5"/>
        <v>0</v>
      </c>
      <c r="J10" s="236">
        <f t="shared" si="6"/>
        <v>0</v>
      </c>
      <c r="K10" s="236">
        <f t="shared" si="7"/>
        <v>0</v>
      </c>
      <c r="L10" s="236">
        <f t="shared" si="8"/>
        <v>0</v>
      </c>
    </row>
    <row r="11" spans="1:12" ht="15">
      <c r="A11" s="237" t="s">
        <v>171</v>
      </c>
      <c r="B11" s="238"/>
      <c r="C11" s="239">
        <f>SUM(C2:C10)</f>
        <v>49</v>
      </c>
      <c r="D11" s="258">
        <f>SUM(D2:D10)</f>
        <v>0</v>
      </c>
      <c r="E11" s="258">
        <f aca="true" t="shared" si="9" ref="E11:L11">SUM(E2:E10)</f>
        <v>0</v>
      </c>
      <c r="F11" s="258">
        <f t="shared" si="9"/>
        <v>0</v>
      </c>
      <c r="G11" s="258">
        <f t="shared" si="9"/>
        <v>0</v>
      </c>
      <c r="H11" s="258">
        <f t="shared" si="9"/>
        <v>0</v>
      </c>
      <c r="I11" s="258">
        <f t="shared" si="9"/>
        <v>0</v>
      </c>
      <c r="J11" s="258">
        <f t="shared" si="9"/>
        <v>0</v>
      </c>
      <c r="K11" s="258">
        <f t="shared" si="9"/>
        <v>0</v>
      </c>
      <c r="L11" s="258">
        <f t="shared" si="9"/>
        <v>0</v>
      </c>
    </row>
    <row r="12" spans="1:12" ht="15">
      <c r="A12" s="240"/>
      <c r="B12" s="240"/>
      <c r="C12" s="241"/>
      <c r="D12" s="242"/>
      <c r="E12" s="242"/>
      <c r="F12" s="243"/>
      <c r="G12" s="244"/>
      <c r="H12" s="243"/>
      <c r="I12" s="244"/>
      <c r="J12" s="243"/>
      <c r="K12" s="245"/>
      <c r="L12" s="242"/>
    </row>
    <row r="13" spans="1:12" ht="19.5" customHeight="1">
      <c r="A13" s="246"/>
      <c r="B13" s="247"/>
      <c r="C13" s="250"/>
      <c r="D13" s="248" t="s">
        <v>172</v>
      </c>
      <c r="E13" s="248" t="s">
        <v>173</v>
      </c>
      <c r="F13" s="249" t="s">
        <v>174</v>
      </c>
      <c r="G13" s="248" t="s">
        <v>175</v>
      </c>
      <c r="H13" s="249" t="s">
        <v>176</v>
      </c>
      <c r="I13" s="248" t="s">
        <v>177</v>
      </c>
      <c r="J13" s="249" t="s">
        <v>178</v>
      </c>
      <c r="K13" s="250" t="s">
        <v>179</v>
      </c>
      <c r="L13" s="248" t="s">
        <v>180</v>
      </c>
    </row>
    <row r="14" spans="1:12" ht="19.5" customHeight="1">
      <c r="A14" s="332" t="s">
        <v>181</v>
      </c>
      <c r="B14" s="332"/>
      <c r="C14" s="252"/>
      <c r="D14" s="336"/>
      <c r="E14" s="252"/>
      <c r="F14" s="253"/>
      <c r="G14" s="252"/>
      <c r="H14" s="251"/>
      <c r="I14" s="251"/>
      <c r="J14" s="254"/>
      <c r="K14" s="252"/>
      <c r="L14" s="252"/>
    </row>
    <row r="15" spans="1:12" ht="19.5" customHeight="1">
      <c r="A15" s="329" t="s">
        <v>187</v>
      </c>
      <c r="B15" s="333"/>
      <c r="C15" s="252"/>
      <c r="D15" s="262">
        <f>D14/$O$3</f>
        <v>0</v>
      </c>
      <c r="E15" s="262">
        <f aca="true" t="shared" si="10" ref="E15:L15">E14/$O$3</f>
        <v>0</v>
      </c>
      <c r="F15" s="262">
        <f t="shared" si="10"/>
        <v>0</v>
      </c>
      <c r="G15" s="262">
        <f t="shared" si="10"/>
        <v>0</v>
      </c>
      <c r="H15" s="262">
        <f t="shared" si="10"/>
        <v>0</v>
      </c>
      <c r="I15" s="262">
        <f t="shared" si="10"/>
        <v>0</v>
      </c>
      <c r="J15" s="262">
        <f t="shared" si="10"/>
        <v>0</v>
      </c>
      <c r="K15" s="262">
        <f t="shared" si="10"/>
        <v>0</v>
      </c>
      <c r="L15" s="262">
        <f t="shared" si="10"/>
        <v>0</v>
      </c>
    </row>
    <row r="16" spans="1:12" ht="21.75" customHeight="1">
      <c r="A16" s="331" t="s">
        <v>186</v>
      </c>
      <c r="B16" s="332"/>
      <c r="C16" s="263"/>
      <c r="D16" s="262">
        <f>$O$6*D15</f>
        <v>0</v>
      </c>
      <c r="E16" s="262">
        <f aca="true" t="shared" si="11" ref="E16:L16">$O$6*E15</f>
        <v>0</v>
      </c>
      <c r="F16" s="262">
        <f t="shared" si="11"/>
        <v>0</v>
      </c>
      <c r="G16" s="262">
        <f t="shared" si="11"/>
        <v>0</v>
      </c>
      <c r="H16" s="262">
        <f t="shared" si="11"/>
        <v>0</v>
      </c>
      <c r="I16" s="262">
        <f t="shared" si="11"/>
        <v>0</v>
      </c>
      <c r="J16" s="262">
        <f t="shared" si="11"/>
        <v>0</v>
      </c>
      <c r="K16" s="262">
        <f t="shared" si="11"/>
        <v>0</v>
      </c>
      <c r="L16" s="262">
        <f t="shared" si="11"/>
        <v>0</v>
      </c>
    </row>
    <row r="17" spans="1:12" ht="36" customHeight="1">
      <c r="A17" s="331" t="s">
        <v>182</v>
      </c>
      <c r="B17" s="332"/>
      <c r="C17" s="263"/>
      <c r="D17" s="262">
        <f>D16/$C$11</f>
        <v>0</v>
      </c>
      <c r="E17" s="262">
        <f aca="true" t="shared" si="12" ref="E17:L17">E16/$C$11</f>
        <v>0</v>
      </c>
      <c r="F17" s="262">
        <f t="shared" si="12"/>
        <v>0</v>
      </c>
      <c r="G17" s="262">
        <f t="shared" si="12"/>
        <v>0</v>
      </c>
      <c r="H17" s="262">
        <f t="shared" si="12"/>
        <v>0</v>
      </c>
      <c r="I17" s="262">
        <f t="shared" si="12"/>
        <v>0</v>
      </c>
      <c r="J17" s="262">
        <f t="shared" si="12"/>
        <v>0</v>
      </c>
      <c r="K17" s="262">
        <f t="shared" si="12"/>
        <v>0</v>
      </c>
      <c r="L17" s="262">
        <f t="shared" si="12"/>
        <v>0</v>
      </c>
    </row>
    <row r="21" spans="4:5" ht="12.75">
      <c r="D21" s="264" t="s">
        <v>184</v>
      </c>
      <c r="E21" s="268"/>
    </row>
    <row r="22" spans="2:12" ht="12.75">
      <c r="B22" t="s">
        <v>188</v>
      </c>
      <c r="C22" s="259">
        <f>D16-D22</f>
        <v>0</v>
      </c>
      <c r="D22" s="265">
        <f>D14*0.546/1.3/1.302/1.1357</f>
        <v>0</v>
      </c>
      <c r="E22" s="265">
        <f>E14*0.546/1.3/1.302/1.1357</f>
        <v>0</v>
      </c>
      <c r="F22" s="265">
        <f>F14*0.546/1.3/1.302/1.1357</f>
        <v>0</v>
      </c>
      <c r="G22" s="265">
        <f aca="true" t="shared" si="13" ref="G22:L22">G14*0.546/1.3/1.302/1.1357</f>
        <v>0</v>
      </c>
      <c r="H22" s="265">
        <f t="shared" si="13"/>
        <v>0</v>
      </c>
      <c r="I22" s="265">
        <f t="shared" si="13"/>
        <v>0</v>
      </c>
      <c r="J22" s="265">
        <f t="shared" si="13"/>
        <v>0</v>
      </c>
      <c r="K22" s="265">
        <f t="shared" si="13"/>
        <v>0</v>
      </c>
      <c r="L22" s="265">
        <f t="shared" si="13"/>
        <v>0</v>
      </c>
    </row>
    <row r="23" spans="3:4" ht="12.75">
      <c r="C23" s="255">
        <f>D23-D17</f>
        <v>0</v>
      </c>
      <c r="D23" s="260">
        <f>D22/C11</f>
        <v>0</v>
      </c>
    </row>
    <row r="24" ht="12.75">
      <c r="D24" s="266" t="s">
        <v>185</v>
      </c>
    </row>
    <row r="25" spans="4:12" ht="12.75">
      <c r="D25" s="267">
        <f>D14*0.054/1.302/1.1357/1.3</f>
        <v>0</v>
      </c>
      <c r="E25" s="267">
        <f>E14*0.054/1.3/1.302/1.1357</f>
        <v>0</v>
      </c>
      <c r="F25" s="267">
        <f aca="true" t="shared" si="14" ref="F25:L25">F14*0.054/1.3/1.302/1.1357</f>
        <v>0</v>
      </c>
      <c r="G25" s="267">
        <f t="shared" si="14"/>
        <v>0</v>
      </c>
      <c r="H25" s="267">
        <f t="shared" si="14"/>
        <v>0</v>
      </c>
      <c r="I25" s="267">
        <f t="shared" si="14"/>
        <v>0</v>
      </c>
      <c r="J25" s="267">
        <f t="shared" si="14"/>
        <v>0</v>
      </c>
      <c r="K25" s="267">
        <f t="shared" si="14"/>
        <v>0</v>
      </c>
      <c r="L25" s="267">
        <f t="shared" si="14"/>
        <v>0</v>
      </c>
    </row>
    <row r="26" spans="3:4" ht="12.75">
      <c r="C26" s="255">
        <f>D25-D26</f>
        <v>0</v>
      </c>
      <c r="D26" s="259">
        <f>D15*O8</f>
        <v>0</v>
      </c>
    </row>
  </sheetData>
  <sheetProtection/>
  <mergeCells count="13">
    <mergeCell ref="A17:B17"/>
    <mergeCell ref="A15:B15"/>
    <mergeCell ref="A8:B8"/>
    <mergeCell ref="A9:B9"/>
    <mergeCell ref="A10:B10"/>
    <mergeCell ref="A14:B14"/>
    <mergeCell ref="A16:B16"/>
    <mergeCell ref="A2:B2"/>
    <mergeCell ref="A3:B3"/>
    <mergeCell ref="A4:B4"/>
    <mergeCell ref="A5:B5"/>
    <mergeCell ref="A7:B7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showZeros="0" view="pageBreakPreview" zoomScale="90" zoomScaleNormal="80" zoomScaleSheetLayoutView="90" zoomScalePageLayoutView="0" workbookViewId="0" topLeftCell="A1">
      <selection activeCell="H21" sqref="H21:K21"/>
    </sheetView>
  </sheetViews>
  <sheetFormatPr defaultColWidth="9.00390625" defaultRowHeight="12.75" customHeight="1"/>
  <cols>
    <col min="1" max="1" width="0.74609375" style="88" customWidth="1"/>
    <col min="2" max="2" width="13.75390625" style="88" customWidth="1"/>
    <col min="3" max="3" width="11.00390625" style="88" customWidth="1"/>
    <col min="4" max="4" width="25.875" style="88" customWidth="1"/>
    <col min="5" max="5" width="11.375" style="88" customWidth="1"/>
    <col min="6" max="6" width="13.875" style="88" customWidth="1"/>
    <col min="7" max="7" width="13.625" style="91" customWidth="1"/>
    <col min="8" max="8" width="12.25390625" style="91" customWidth="1"/>
    <col min="9" max="9" width="12.625" style="91" customWidth="1"/>
    <col min="10" max="10" width="11.625" style="91" customWidth="1"/>
    <col min="11" max="11" width="12.375" style="91" customWidth="1"/>
    <col min="12" max="12" width="11.00390625" style="88" hidden="1" customWidth="1"/>
    <col min="13" max="13" width="11.00390625" style="8" hidden="1" customWidth="1"/>
    <col min="14" max="14" width="12.875" style="175" customWidth="1"/>
    <col min="15" max="15" width="9.125" style="6" customWidth="1"/>
    <col min="16" max="16" width="11.875" style="88" customWidth="1"/>
    <col min="17" max="17" width="10.875" style="88" customWidth="1"/>
    <col min="18" max="18" width="10.75390625" style="88" customWidth="1"/>
    <col min="19" max="19" width="12.25390625" style="88" customWidth="1"/>
    <col min="20" max="20" width="17.375" style="88" customWidth="1"/>
    <col min="21" max="16384" width="9.125" style="88" customWidth="1"/>
  </cols>
  <sheetData>
    <row r="1" spans="7:14" s="6" customFormat="1" ht="12.75" customHeight="1">
      <c r="G1" s="7"/>
      <c r="H1" s="7"/>
      <c r="I1" s="7"/>
      <c r="J1" s="7"/>
      <c r="K1" s="7"/>
      <c r="M1" s="8"/>
      <c r="N1" s="175"/>
    </row>
    <row r="2" spans="2:15" s="9" customFormat="1" ht="19.5" customHeight="1">
      <c r="B2" s="310" t="s">
        <v>103</v>
      </c>
      <c r="C2" s="310"/>
      <c r="D2" s="310"/>
      <c r="E2" s="310"/>
      <c r="F2" s="310"/>
      <c r="G2" s="310"/>
      <c r="H2" s="310"/>
      <c r="I2" s="310"/>
      <c r="J2" s="310"/>
      <c r="K2" s="310"/>
      <c r="M2" s="8"/>
      <c r="N2" s="175"/>
      <c r="O2" s="6"/>
    </row>
    <row r="3" spans="2:20" s="9" customFormat="1" ht="19.5" customHeight="1">
      <c r="B3" s="310" t="str">
        <f>' (смета) (2)'!B3:K3</f>
        <v>                 на  2023-2024 учебный год  (сентябрь -май)</v>
      </c>
      <c r="C3" s="310"/>
      <c r="D3" s="310"/>
      <c r="E3" s="310"/>
      <c r="F3" s="310"/>
      <c r="G3" s="310"/>
      <c r="H3" s="310"/>
      <c r="I3" s="310"/>
      <c r="J3" s="310"/>
      <c r="K3" s="310"/>
      <c r="M3" s="8"/>
      <c r="N3" s="175"/>
      <c r="O3" s="6"/>
      <c r="P3" s="305" t="s">
        <v>148</v>
      </c>
      <c r="Q3" s="306"/>
      <c r="R3" s="306"/>
      <c r="S3" s="307"/>
      <c r="T3" s="195" t="s">
        <v>72</v>
      </c>
    </row>
    <row r="4" spans="2:20" s="6" customFormat="1" ht="16.5" customHeight="1">
      <c r="B4" s="224" t="s">
        <v>155</v>
      </c>
      <c r="C4" s="223" t="s">
        <v>153</v>
      </c>
      <c r="D4" s="10"/>
      <c r="G4" s="11"/>
      <c r="H4" s="7"/>
      <c r="I4" s="12"/>
      <c r="J4" s="12"/>
      <c r="K4" s="7"/>
      <c r="M4" s="8"/>
      <c r="N4" s="175"/>
      <c r="P4" s="192">
        <f>G21</f>
        <v>64800</v>
      </c>
      <c r="Q4" s="193">
        <f>H21+I21+J21+K21</f>
        <v>64800</v>
      </c>
      <c r="R4" s="193">
        <f>G22+G27+G59</f>
        <v>64800</v>
      </c>
      <c r="S4" s="194">
        <f>'калькуляция (3)'!D45</f>
        <v>64800</v>
      </c>
      <c r="T4" s="196">
        <f>'резерв отпускных (3)'!D10+'резерв отпускных (3)'!D11+'резерв отпускных (3)'!D14+'резерв отпускных (3)'!D15</f>
        <v>38879</v>
      </c>
    </row>
    <row r="5" spans="3:14" s="6" customFormat="1" ht="12.75" customHeight="1">
      <c r="C5" s="223" t="s">
        <v>154</v>
      </c>
      <c r="G5" s="7"/>
      <c r="H5" s="7"/>
      <c r="I5" s="7"/>
      <c r="J5" s="7"/>
      <c r="K5" s="7"/>
      <c r="M5" s="8"/>
      <c r="N5" s="175"/>
    </row>
    <row r="6" spans="2:20" s="5" customFormat="1" ht="28.5" customHeight="1">
      <c r="B6" s="273" t="s">
        <v>192</v>
      </c>
      <c r="C6" s="272"/>
      <c r="D6" s="272" t="s">
        <v>209</v>
      </c>
      <c r="E6" s="272"/>
      <c r="F6" s="272"/>
      <c r="G6" s="272"/>
      <c r="H6" s="272"/>
      <c r="I6" s="272"/>
      <c r="J6" s="272"/>
      <c r="K6" s="272"/>
      <c r="M6" s="14"/>
      <c r="N6" s="176"/>
      <c r="P6" s="199">
        <f>E17-P4</f>
        <v>0</v>
      </c>
      <c r="Q6" s="199">
        <f>E17-Q4</f>
        <v>0</v>
      </c>
      <c r="R6" s="199">
        <f>E17-R4</f>
        <v>0</v>
      </c>
      <c r="S6" s="199">
        <f>E17-S4</f>
        <v>0</v>
      </c>
      <c r="T6" s="199">
        <f>G22-T4</f>
        <v>1</v>
      </c>
    </row>
    <row r="7" spans="2:14" s="6" customFormat="1" ht="18" customHeight="1">
      <c r="B7" s="277" t="s">
        <v>193</v>
      </c>
      <c r="C7" s="278"/>
      <c r="D7" s="278" t="s">
        <v>210</v>
      </c>
      <c r="E7" s="279"/>
      <c r="G7" s="13"/>
      <c r="H7" s="7"/>
      <c r="I7" s="7"/>
      <c r="J7" s="7"/>
      <c r="K7" s="7"/>
      <c r="M7" s="8"/>
      <c r="N7" s="175"/>
    </row>
    <row r="8" spans="2:14" s="6" customFormat="1" ht="27" customHeight="1">
      <c r="B8" s="6" t="s">
        <v>41</v>
      </c>
      <c r="E8" s="173">
        <v>4</v>
      </c>
      <c r="F8" s="88">
        <v>10</v>
      </c>
      <c r="G8" s="7"/>
      <c r="H8" s="7"/>
      <c r="I8" s="7"/>
      <c r="J8" s="7"/>
      <c r="K8" s="7"/>
      <c r="M8" s="8"/>
      <c r="N8" s="175"/>
    </row>
    <row r="9" spans="2:15" s="6" customFormat="1" ht="18" customHeight="1">
      <c r="B9" s="6" t="s">
        <v>44</v>
      </c>
      <c r="E9" s="173">
        <v>2</v>
      </c>
      <c r="F9" s="15"/>
      <c r="G9" s="7"/>
      <c r="H9" s="7"/>
      <c r="I9" s="7" t="s">
        <v>149</v>
      </c>
      <c r="J9" s="7"/>
      <c r="K9" s="7"/>
      <c r="M9" s="8"/>
      <c r="N9" s="177"/>
      <c r="O9" s="16"/>
    </row>
    <row r="10" spans="2:15" s="6" customFormat="1" ht="18" customHeight="1">
      <c r="B10" s="6" t="s">
        <v>196</v>
      </c>
      <c r="E10" s="173">
        <v>8</v>
      </c>
      <c r="F10" s="15"/>
      <c r="G10" s="7"/>
      <c r="H10" s="7"/>
      <c r="I10" s="7"/>
      <c r="J10" s="7"/>
      <c r="K10" s="7"/>
      <c r="M10" s="8"/>
      <c r="N10" s="177"/>
      <c r="O10" s="16"/>
    </row>
    <row r="11" spans="2:14" s="6" customFormat="1" ht="18" customHeight="1">
      <c r="B11" s="6" t="s">
        <v>42</v>
      </c>
      <c r="E11" s="173">
        <v>1</v>
      </c>
      <c r="F11" s="15"/>
      <c r="G11" s="17"/>
      <c r="H11" s="7"/>
      <c r="I11" s="7"/>
      <c r="J11" s="7"/>
      <c r="K11" s="7"/>
      <c r="M11" s="8"/>
      <c r="N11" s="175"/>
    </row>
    <row r="12" spans="2:14" s="6" customFormat="1" ht="18" customHeight="1">
      <c r="B12" s="6" t="s">
        <v>45</v>
      </c>
      <c r="E12" s="172">
        <f>G13</f>
        <v>36</v>
      </c>
      <c r="F12" s="15"/>
      <c r="G12" s="7"/>
      <c r="H12" s="7"/>
      <c r="I12" s="7"/>
      <c r="J12" s="7"/>
      <c r="K12" s="7"/>
      <c r="M12" s="8"/>
      <c r="N12" s="175"/>
    </row>
    <row r="13" spans="2:14" s="6" customFormat="1" ht="18" customHeight="1">
      <c r="B13" s="6" t="s">
        <v>94</v>
      </c>
      <c r="E13" s="173">
        <f>E12*E9*E11</f>
        <v>72</v>
      </c>
      <c r="G13" s="27">
        <f>H13+I13+J13+K13</f>
        <v>36</v>
      </c>
      <c r="H13" s="27">
        <v>4</v>
      </c>
      <c r="I13" s="27">
        <v>12</v>
      </c>
      <c r="J13" s="27">
        <v>12</v>
      </c>
      <c r="K13" s="27">
        <v>8</v>
      </c>
      <c r="M13" s="8"/>
      <c r="N13" s="175"/>
    </row>
    <row r="14" spans="2:14" s="6" customFormat="1" ht="18" customHeight="1">
      <c r="B14" s="6" t="s">
        <v>195</v>
      </c>
      <c r="E14" s="173">
        <v>1800</v>
      </c>
      <c r="G14" s="164"/>
      <c r="H14" s="164"/>
      <c r="I14" s="164"/>
      <c r="J14" s="164"/>
      <c r="K14" s="164"/>
      <c r="M14" s="8"/>
      <c r="N14" s="175"/>
    </row>
    <row r="15" spans="2:14" s="6" customFormat="1" ht="18" customHeight="1">
      <c r="B15" s="6" t="s">
        <v>130</v>
      </c>
      <c r="E15" s="173">
        <f>E14/E10</f>
        <v>225</v>
      </c>
      <c r="F15" s="15"/>
      <c r="G15" s="89"/>
      <c r="H15" s="89"/>
      <c r="I15" s="89"/>
      <c r="J15" s="89"/>
      <c r="K15" s="89"/>
      <c r="M15" s="8"/>
      <c r="N15" s="175"/>
    </row>
    <row r="16" spans="2:14" s="6" customFormat="1" ht="21" customHeight="1">
      <c r="B16" s="6" t="s">
        <v>46</v>
      </c>
      <c r="E16" s="173">
        <f>E9*E12*E15</f>
        <v>16200</v>
      </c>
      <c r="F16" s="6" t="s">
        <v>149</v>
      </c>
      <c r="G16" s="89"/>
      <c r="H16" s="89"/>
      <c r="I16" s="89"/>
      <c r="J16" s="89"/>
      <c r="K16" s="89"/>
      <c r="M16" s="8"/>
      <c r="N16" s="175"/>
    </row>
    <row r="17" spans="1:14" s="6" customFormat="1" ht="18" customHeight="1">
      <c r="A17" s="18"/>
      <c r="B17" s="18" t="s">
        <v>47</v>
      </c>
      <c r="C17" s="19"/>
      <c r="D17" s="19"/>
      <c r="E17" s="174">
        <f>E16*E8</f>
        <v>64800</v>
      </c>
      <c r="F17" s="19"/>
      <c r="G17" s="89"/>
      <c r="H17" s="89"/>
      <c r="I17" s="89"/>
      <c r="J17" s="89"/>
      <c r="K17" s="89"/>
      <c r="L17" s="6" t="s">
        <v>1</v>
      </c>
      <c r="M17" s="8"/>
      <c r="N17" s="175"/>
    </row>
    <row r="18" spans="1:14" s="6" customFormat="1" ht="18" customHeight="1">
      <c r="A18" s="18"/>
      <c r="B18" s="18"/>
      <c r="C18" s="19"/>
      <c r="D18" s="19"/>
      <c r="E18" s="20"/>
      <c r="F18" s="19"/>
      <c r="G18" s="89"/>
      <c r="H18" s="89"/>
      <c r="I18" s="89"/>
      <c r="J18" s="89"/>
      <c r="K18" s="89"/>
      <c r="M18" s="8"/>
      <c r="N18" s="175"/>
    </row>
    <row r="19" spans="1:23" s="6" customFormat="1" ht="18" customHeight="1">
      <c r="A19" s="18"/>
      <c r="B19" s="21" t="s">
        <v>29</v>
      </c>
      <c r="C19" s="22"/>
      <c r="D19" s="22"/>
      <c r="E19" s="22"/>
      <c r="F19" s="22"/>
      <c r="G19" s="148"/>
      <c r="H19" s="312">
        <v>2023</v>
      </c>
      <c r="I19" s="313"/>
      <c r="J19" s="314">
        <v>2024</v>
      </c>
      <c r="K19" s="315"/>
      <c r="L19" s="23" t="s">
        <v>39</v>
      </c>
      <c r="M19" s="8"/>
      <c r="N19" s="311" t="s">
        <v>145</v>
      </c>
      <c r="P19" s="24"/>
      <c r="Q19" s="25"/>
      <c r="R19" s="4"/>
      <c r="S19" s="4"/>
      <c r="T19" s="25"/>
      <c r="U19" s="25"/>
      <c r="V19" s="25"/>
      <c r="W19" s="25"/>
    </row>
    <row r="20" spans="1:14" s="6" customFormat="1" ht="18" customHeight="1">
      <c r="A20" s="18"/>
      <c r="B20" s="26"/>
      <c r="C20" s="116" t="s">
        <v>43</v>
      </c>
      <c r="D20" s="18"/>
      <c r="E20" s="18"/>
      <c r="F20" s="18"/>
      <c r="G20" s="149"/>
      <c r="H20" s="27" t="s">
        <v>32</v>
      </c>
      <c r="I20" s="27" t="s">
        <v>33</v>
      </c>
      <c r="J20" s="27" t="s">
        <v>30</v>
      </c>
      <c r="K20" s="27" t="s">
        <v>31</v>
      </c>
      <c r="L20" s="28" t="s">
        <v>40</v>
      </c>
      <c r="M20" s="8"/>
      <c r="N20" s="311"/>
    </row>
    <row r="21" spans="2:23" s="25" customFormat="1" ht="30" customHeight="1">
      <c r="B21" s="29"/>
      <c r="C21" s="30"/>
      <c r="D21" s="30"/>
      <c r="E21" s="30"/>
      <c r="F21" s="30"/>
      <c r="G21" s="150">
        <f>E17</f>
        <v>64800</v>
      </c>
      <c r="H21" s="151">
        <f>E17/G13*H13</f>
        <v>7200</v>
      </c>
      <c r="I21" s="151">
        <f>E17/G13*I13</f>
        <v>21600</v>
      </c>
      <c r="J21" s="151">
        <f>E17/G13*J13</f>
        <v>21600</v>
      </c>
      <c r="K21" s="151">
        <f>E17/G13*K13</f>
        <v>14400</v>
      </c>
      <c r="L21" s="31">
        <f>E15</f>
        <v>225</v>
      </c>
      <c r="M21" s="32" t="e">
        <f>G21/N9</f>
        <v>#DIV/0!</v>
      </c>
      <c r="N21" s="178">
        <f>G21/G21</f>
        <v>1</v>
      </c>
      <c r="O21" s="5"/>
      <c r="P21" s="6"/>
      <c r="Q21" s="6"/>
      <c r="R21" s="6"/>
      <c r="S21" s="6"/>
      <c r="T21" s="6"/>
      <c r="U21" s="6"/>
      <c r="V21" s="6"/>
      <c r="W21" s="6"/>
    </row>
    <row r="22" spans="2:24" s="6" customFormat="1" ht="24.75" customHeight="1" thickBot="1">
      <c r="B22" s="101" t="s">
        <v>28</v>
      </c>
      <c r="C22" s="102"/>
      <c r="D22" s="102"/>
      <c r="E22" s="102"/>
      <c r="F22" s="102"/>
      <c r="G22" s="152">
        <f>+H22+I22+J22+K22</f>
        <v>38880</v>
      </c>
      <c r="H22" s="152">
        <f>H21*0.6</f>
        <v>4320</v>
      </c>
      <c r="I22" s="152">
        <f>I21*0.6</f>
        <v>12960</v>
      </c>
      <c r="J22" s="152">
        <f>J21*0.6</f>
        <v>12960</v>
      </c>
      <c r="K22" s="152">
        <f>K21*0.6</f>
        <v>8640</v>
      </c>
      <c r="L22" s="33"/>
      <c r="M22" s="32">
        <f>G22/8208</f>
        <v>4.74</v>
      </c>
      <c r="N22" s="179">
        <f>G22/G21</f>
        <v>0.6</v>
      </c>
      <c r="O22" s="147"/>
      <c r="X22" s="142"/>
    </row>
    <row r="23" spans="2:22" s="6" customFormat="1" ht="17.25" customHeight="1">
      <c r="B23" s="103"/>
      <c r="C23" s="34"/>
      <c r="D23" s="34"/>
      <c r="E23" s="34"/>
      <c r="F23" s="35"/>
      <c r="G23" s="27"/>
      <c r="H23" s="148">
        <v>0</v>
      </c>
      <c r="I23" s="148"/>
      <c r="J23" s="148"/>
      <c r="K23" s="148"/>
      <c r="L23" s="36" t="e">
        <f>M23</f>
        <v>#DIV/0!</v>
      </c>
      <c r="M23" s="32" t="e">
        <f>G23/N9</f>
        <v>#DIV/0!</v>
      </c>
      <c r="N23" s="179"/>
      <c r="P23" s="181" t="s">
        <v>142</v>
      </c>
      <c r="Q23" s="182"/>
      <c r="R23" s="182"/>
      <c r="S23" s="182"/>
      <c r="T23" s="183"/>
      <c r="U23" s="18"/>
      <c r="V23" s="18"/>
    </row>
    <row r="24" spans="1:24" s="6" customFormat="1" ht="17.25" customHeight="1">
      <c r="A24" s="6" t="s">
        <v>124</v>
      </c>
      <c r="B24" s="99" t="s">
        <v>132</v>
      </c>
      <c r="C24" s="37"/>
      <c r="D24" s="37"/>
      <c r="E24" s="37"/>
      <c r="F24" s="37"/>
      <c r="G24" s="27">
        <f aca="true" t="shared" si="0" ref="G24:G34">SUM(H24:K24)</f>
        <v>29862</v>
      </c>
      <c r="H24" s="27">
        <f>H22/1.302</f>
        <v>3318</v>
      </c>
      <c r="I24" s="27">
        <f>I22/1.302</f>
        <v>9954</v>
      </c>
      <c r="J24" s="27">
        <f>J22/1.302</f>
        <v>9954</v>
      </c>
      <c r="K24" s="27">
        <f>K22/1.302</f>
        <v>6636</v>
      </c>
      <c r="L24" s="38" t="e">
        <f>M24</f>
        <v>#DIV/0!</v>
      </c>
      <c r="M24" s="32" t="e">
        <f>G24/N9</f>
        <v>#DIV/0!</v>
      </c>
      <c r="N24" s="179"/>
      <c r="P24" s="184" t="s">
        <v>123</v>
      </c>
      <c r="Q24" s="185">
        <f>E15*0.546/1.302/1.1357/1.3</f>
        <v>63.91</v>
      </c>
      <c r="R24" s="186" t="s">
        <v>143</v>
      </c>
      <c r="S24" s="186"/>
      <c r="T24" s="197" t="s">
        <v>189</v>
      </c>
      <c r="U24" s="186"/>
      <c r="V24" s="186"/>
      <c r="X24" s="142"/>
    </row>
    <row r="25" spans="1:22" s="6" customFormat="1" ht="17.25" customHeight="1" hidden="1">
      <c r="A25" s="5" t="s">
        <v>125</v>
      </c>
      <c r="B25" s="39" t="s">
        <v>129</v>
      </c>
      <c r="C25" s="39"/>
      <c r="D25" s="37"/>
      <c r="E25" s="37"/>
      <c r="F25" s="37"/>
      <c r="G25" s="27">
        <f t="shared" si="0"/>
        <v>0</v>
      </c>
      <c r="H25" s="27"/>
      <c r="I25" s="27"/>
      <c r="J25" s="27"/>
      <c r="K25" s="27"/>
      <c r="L25" s="40"/>
      <c r="M25" s="32">
        <f>G25/5760</f>
        <v>0</v>
      </c>
      <c r="N25" s="179"/>
      <c r="P25" s="187"/>
      <c r="Q25" s="18"/>
      <c r="R25" s="18"/>
      <c r="S25" s="18"/>
      <c r="T25" s="188"/>
      <c r="U25" s="18"/>
      <c r="V25" s="18"/>
    </row>
    <row r="26" spans="1:22" s="6" customFormat="1" ht="17.25" customHeight="1" thickBot="1">
      <c r="A26" s="5" t="s">
        <v>125</v>
      </c>
      <c r="B26" s="100" t="s">
        <v>133</v>
      </c>
      <c r="C26" s="41"/>
      <c r="D26" s="42"/>
      <c r="E26" s="42"/>
      <c r="F26" s="42"/>
      <c r="G26" s="27">
        <f t="shared" si="0"/>
        <v>9018</v>
      </c>
      <c r="H26" s="27">
        <f>H22-H24</f>
        <v>1002</v>
      </c>
      <c r="I26" s="27">
        <f>I22-I24</f>
        <v>3006</v>
      </c>
      <c r="J26" s="27">
        <f>J22-J24</f>
        <v>3006</v>
      </c>
      <c r="K26" s="27">
        <f>K22-K24</f>
        <v>2004</v>
      </c>
      <c r="L26" s="43" t="e">
        <f>M26</f>
        <v>#DIV/0!</v>
      </c>
      <c r="M26" s="32" t="e">
        <f aca="true" t="shared" si="1" ref="M26:M34">G26/$N$9</f>
        <v>#DIV/0!</v>
      </c>
      <c r="N26" s="179"/>
      <c r="P26" s="189" t="s">
        <v>141</v>
      </c>
      <c r="Q26" s="190">
        <f>E15*0.054/1.302/1.1357/1.3</f>
        <v>6.32</v>
      </c>
      <c r="R26" s="191" t="s">
        <v>143</v>
      </c>
      <c r="S26" s="191"/>
      <c r="T26" s="198" t="s">
        <v>159</v>
      </c>
      <c r="U26" s="18"/>
      <c r="V26" s="18"/>
    </row>
    <row r="27" spans="2:16" s="6" customFormat="1" ht="24.75" customHeight="1">
      <c r="B27" s="117" t="s">
        <v>0</v>
      </c>
      <c r="C27" s="118"/>
      <c r="D27" s="118"/>
      <c r="E27" s="118"/>
      <c r="F27" s="118"/>
      <c r="G27" s="153">
        <f t="shared" si="0"/>
        <v>10563</v>
      </c>
      <c r="H27" s="152">
        <f>H28+H29+H30+H43+H44+H49</f>
        <v>1174</v>
      </c>
      <c r="I27" s="152">
        <f>I28+I29+I30+I43+I44+I49</f>
        <v>3521</v>
      </c>
      <c r="J27" s="152">
        <f>J28+J29+J30+J43+J44+J49</f>
        <v>3521</v>
      </c>
      <c r="K27" s="152">
        <f>K28+K29+K30+K43+K44+K49</f>
        <v>2347</v>
      </c>
      <c r="L27" s="201" t="e">
        <f>L28+L29+L30+L43+L44+L49</f>
        <v>#DIV/0!</v>
      </c>
      <c r="M27" s="32" t="e">
        <f t="shared" si="1"/>
        <v>#DIV/0!</v>
      </c>
      <c r="N27" s="179"/>
      <c r="P27" s="8"/>
    </row>
    <row r="28" spans="2:15" s="44" customFormat="1" ht="17.25" customHeight="1" hidden="1">
      <c r="B28" s="45" t="s">
        <v>126</v>
      </c>
      <c r="C28" s="80"/>
      <c r="D28" s="80"/>
      <c r="E28" s="80"/>
      <c r="F28" s="80"/>
      <c r="G28" s="27">
        <f t="shared" si="0"/>
        <v>0</v>
      </c>
      <c r="H28" s="27"/>
      <c r="I28" s="27"/>
      <c r="J28" s="27"/>
      <c r="K28" s="154"/>
      <c r="L28" s="46">
        <f>(H28/3*$L$21)/($H$21/3)</f>
        <v>0</v>
      </c>
      <c r="M28" s="32" t="e">
        <f t="shared" si="1"/>
        <v>#DIV/0!</v>
      </c>
      <c r="N28" s="179"/>
      <c r="O28" s="5"/>
    </row>
    <row r="29" spans="2:15" s="44" customFormat="1" ht="17.25" customHeight="1" hidden="1">
      <c r="B29" s="45" t="s">
        <v>127</v>
      </c>
      <c r="C29" s="80"/>
      <c r="D29" s="80"/>
      <c r="E29" s="80"/>
      <c r="F29" s="80"/>
      <c r="G29" s="27">
        <f t="shared" si="0"/>
        <v>0</v>
      </c>
      <c r="H29" s="27"/>
      <c r="I29" s="27"/>
      <c r="J29" s="27"/>
      <c r="K29" s="27"/>
      <c r="L29" s="46"/>
      <c r="M29" s="32" t="e">
        <f t="shared" si="1"/>
        <v>#DIV/0!</v>
      </c>
      <c r="N29" s="179"/>
      <c r="O29" s="5"/>
    </row>
    <row r="30" spans="2:15" s="44" customFormat="1" ht="17.25" customHeight="1">
      <c r="B30" s="2" t="s">
        <v>106</v>
      </c>
      <c r="C30" s="105"/>
      <c r="D30" s="105"/>
      <c r="E30" s="105"/>
      <c r="F30" s="105"/>
      <c r="G30" s="145">
        <f t="shared" si="0"/>
        <v>6480</v>
      </c>
      <c r="H30" s="27">
        <f>H31+H34+H38</f>
        <v>720</v>
      </c>
      <c r="I30" s="27">
        <f>I31+I34+I38</f>
        <v>2160</v>
      </c>
      <c r="J30" s="27">
        <f>SUM(J31:J38)</f>
        <v>2160</v>
      </c>
      <c r="K30" s="27">
        <f>SUM(K31:K38)</f>
        <v>1440</v>
      </c>
      <c r="L30" s="43" t="e">
        <f>L31+L34+L38</f>
        <v>#DIV/0!</v>
      </c>
      <c r="M30" s="32" t="e">
        <f>G30/$N$9</f>
        <v>#DIV/0!</v>
      </c>
      <c r="N30" s="179">
        <f>G30/G21</f>
        <v>0.1</v>
      </c>
      <c r="O30" s="5"/>
    </row>
    <row r="31" spans="2:15" s="47" customFormat="1" ht="17.25" customHeight="1">
      <c r="B31" s="39" t="s">
        <v>2</v>
      </c>
      <c r="C31" s="37"/>
      <c r="D31" s="37"/>
      <c r="E31" s="48">
        <v>0.065</v>
      </c>
      <c r="F31" s="49"/>
      <c r="G31" s="155">
        <f t="shared" si="0"/>
        <v>4212</v>
      </c>
      <c r="H31" s="156">
        <f>+H21*6.5%</f>
        <v>468</v>
      </c>
      <c r="I31" s="156">
        <f>+I21*6.5%</f>
        <v>1404</v>
      </c>
      <c r="J31" s="156">
        <f>+J21*6.5%</f>
        <v>1404</v>
      </c>
      <c r="K31" s="156">
        <f>+K21*6.5%</f>
        <v>936</v>
      </c>
      <c r="L31" s="38" t="e">
        <f>M31</f>
        <v>#DIV/0!</v>
      </c>
      <c r="M31" s="32" t="e">
        <f t="shared" si="1"/>
        <v>#DIV/0!</v>
      </c>
      <c r="N31" s="179"/>
      <c r="O31" s="6"/>
    </row>
    <row r="32" spans="2:15" s="50" customFormat="1" ht="17.25" customHeight="1" hidden="1">
      <c r="B32" s="51" t="s">
        <v>3</v>
      </c>
      <c r="C32" s="52"/>
      <c r="D32" s="52" t="s">
        <v>4</v>
      </c>
      <c r="E32" s="53"/>
      <c r="F32" s="52" t="s">
        <v>5</v>
      </c>
      <c r="G32" s="157">
        <f t="shared" si="0"/>
        <v>0</v>
      </c>
      <c r="H32" s="158"/>
      <c r="I32" s="158"/>
      <c r="J32" s="158"/>
      <c r="K32" s="158"/>
      <c r="L32" s="38">
        <f>(H32/3*$L$21)/($H$21/3)</f>
        <v>0</v>
      </c>
      <c r="M32" s="32" t="e">
        <f t="shared" si="1"/>
        <v>#DIV/0!</v>
      </c>
      <c r="N32" s="180"/>
      <c r="O32" s="54"/>
    </row>
    <row r="33" spans="2:15" s="50" customFormat="1" ht="17.25" customHeight="1" hidden="1">
      <c r="B33" s="55" t="s">
        <v>6</v>
      </c>
      <c r="C33" s="56">
        <f>C32</f>
        <v>0</v>
      </c>
      <c r="D33" s="56" t="s">
        <v>7</v>
      </c>
      <c r="E33" s="57"/>
      <c r="F33" s="56"/>
      <c r="G33" s="159">
        <f t="shared" si="0"/>
        <v>0</v>
      </c>
      <c r="H33" s="158"/>
      <c r="I33" s="158"/>
      <c r="J33" s="158"/>
      <c r="K33" s="158"/>
      <c r="L33" s="38">
        <f>(H33/3*$L$21)/($H$21/3)</f>
        <v>0</v>
      </c>
      <c r="M33" s="32" t="e">
        <f t="shared" si="1"/>
        <v>#DIV/0!</v>
      </c>
      <c r="N33" s="180"/>
      <c r="O33" s="54"/>
    </row>
    <row r="34" spans="2:15" s="47" customFormat="1" ht="17.25" customHeight="1">
      <c r="B34" s="39" t="s">
        <v>8</v>
      </c>
      <c r="C34" s="37"/>
      <c r="D34" s="37"/>
      <c r="E34" s="48">
        <v>0.021</v>
      </c>
      <c r="F34" s="49"/>
      <c r="G34" s="155">
        <f t="shared" si="0"/>
        <v>1360.8</v>
      </c>
      <c r="H34" s="156">
        <f>+H21*2.1%</f>
        <v>151.2</v>
      </c>
      <c r="I34" s="156">
        <f>+I21*2.1%</f>
        <v>453.6</v>
      </c>
      <c r="J34" s="156">
        <f>+J21*2.1%</f>
        <v>453.6</v>
      </c>
      <c r="K34" s="156">
        <f>+K21*2.1%</f>
        <v>302.4</v>
      </c>
      <c r="L34" s="38" t="e">
        <f>M34</f>
        <v>#DIV/0!</v>
      </c>
      <c r="M34" s="32" t="e">
        <f t="shared" si="1"/>
        <v>#DIV/0!</v>
      </c>
      <c r="N34" s="175"/>
      <c r="O34" s="6"/>
    </row>
    <row r="35" spans="2:16" s="50" customFormat="1" ht="15.75" hidden="1">
      <c r="B35" s="58"/>
      <c r="C35" s="52"/>
      <c r="D35" s="52">
        <f>1.44*24*3</f>
        <v>103.68</v>
      </c>
      <c r="E35" s="53" t="s">
        <v>48</v>
      </c>
      <c r="F35" s="106"/>
      <c r="G35" s="160"/>
      <c r="H35" s="158"/>
      <c r="I35" s="158"/>
      <c r="J35" s="158"/>
      <c r="K35" s="158"/>
      <c r="L35" s="38">
        <f>(H35/3*$L$21)/($H$21/3)</f>
        <v>0</v>
      </c>
      <c r="M35" s="32" t="e">
        <f>F35/$N$9</f>
        <v>#DIV/0!</v>
      </c>
      <c r="N35" s="180"/>
      <c r="O35" s="54"/>
      <c r="P35" s="50">
        <v>224</v>
      </c>
    </row>
    <row r="36" spans="2:15" s="50" customFormat="1" ht="15.75" hidden="1">
      <c r="B36" s="52" t="s">
        <v>36</v>
      </c>
      <c r="C36" s="54"/>
      <c r="D36" s="52"/>
      <c r="E36" s="53"/>
      <c r="F36" s="52"/>
      <c r="G36" s="161"/>
      <c r="H36" s="158"/>
      <c r="I36" s="158"/>
      <c r="J36" s="158"/>
      <c r="K36" s="158"/>
      <c r="L36" s="38">
        <f>(H36/3*$L$21)/($H$21/3)</f>
        <v>0</v>
      </c>
      <c r="M36" s="32" t="e">
        <f aca="true" t="shared" si="2" ref="M36:M74">G36/$N$9</f>
        <v>#DIV/0!</v>
      </c>
      <c r="N36" s="180"/>
      <c r="O36" s="54"/>
    </row>
    <row r="37" spans="2:15" s="50" customFormat="1" ht="15.75" hidden="1">
      <c r="B37" s="59"/>
      <c r="C37" s="52" t="s">
        <v>37</v>
      </c>
      <c r="D37" s="52"/>
      <c r="E37" s="53"/>
      <c r="F37" s="59"/>
      <c r="G37" s="161" t="s">
        <v>38</v>
      </c>
      <c r="H37" s="158"/>
      <c r="I37" s="158"/>
      <c r="J37" s="158"/>
      <c r="K37" s="158"/>
      <c r="L37" s="38">
        <f>(H37/3*$L$21)/($H$21/3)</f>
        <v>0</v>
      </c>
      <c r="M37" s="32" t="e">
        <f t="shared" si="2"/>
        <v>#VALUE!</v>
      </c>
      <c r="N37" s="180"/>
      <c r="O37" s="54"/>
    </row>
    <row r="38" spans="2:15" s="47" customFormat="1" ht="17.25" customHeight="1">
      <c r="B38" s="60" t="s">
        <v>9</v>
      </c>
      <c r="C38" s="37"/>
      <c r="D38" s="37"/>
      <c r="E38" s="48">
        <v>0.014</v>
      </c>
      <c r="F38" s="61"/>
      <c r="G38" s="155">
        <f>SUM(H38:K38)</f>
        <v>907.2</v>
      </c>
      <c r="H38" s="156">
        <f>+H21*1.4%</f>
        <v>100.8</v>
      </c>
      <c r="I38" s="156">
        <f>+I21*1.4%</f>
        <v>302.4</v>
      </c>
      <c r="J38" s="156">
        <f>+J21*1.4%</f>
        <v>302.4</v>
      </c>
      <c r="K38" s="156">
        <f>+K21*1.4%</f>
        <v>201.6</v>
      </c>
      <c r="L38" s="38" t="e">
        <f>M38</f>
        <v>#DIV/0!</v>
      </c>
      <c r="M38" s="32" t="e">
        <f t="shared" si="2"/>
        <v>#DIV/0!</v>
      </c>
      <c r="N38" s="175"/>
      <c r="O38" s="6"/>
    </row>
    <row r="39" spans="2:16" s="50" customFormat="1" ht="18.75" hidden="1">
      <c r="B39" s="58" t="s">
        <v>10</v>
      </c>
      <c r="C39" s="52"/>
      <c r="D39" s="52">
        <f>50</f>
        <v>50</v>
      </c>
      <c r="E39" s="52" t="s">
        <v>49</v>
      </c>
      <c r="F39" s="54"/>
      <c r="G39" s="162"/>
      <c r="H39" s="163"/>
      <c r="I39" s="163"/>
      <c r="J39" s="163"/>
      <c r="K39" s="163"/>
      <c r="L39" s="62"/>
      <c r="M39" s="32" t="e">
        <f t="shared" si="2"/>
        <v>#DIV/0!</v>
      </c>
      <c r="N39" s="180"/>
      <c r="O39" s="54"/>
      <c r="P39" s="50">
        <v>224</v>
      </c>
    </row>
    <row r="40" spans="2:16" s="50" customFormat="1" ht="18.75" hidden="1">
      <c r="B40" s="58" t="s">
        <v>11</v>
      </c>
      <c r="C40" s="52"/>
      <c r="D40" s="52">
        <f>50</f>
        <v>50</v>
      </c>
      <c r="E40" s="52" t="s">
        <v>49</v>
      </c>
      <c r="F40" s="54"/>
      <c r="G40" s="162"/>
      <c r="H40" s="163"/>
      <c r="I40" s="163"/>
      <c r="J40" s="163"/>
      <c r="K40" s="163">
        <f>H40</f>
        <v>0</v>
      </c>
      <c r="L40" s="62"/>
      <c r="M40" s="32" t="e">
        <f t="shared" si="2"/>
        <v>#DIV/0!</v>
      </c>
      <c r="N40" s="180"/>
      <c r="O40" s="54"/>
      <c r="P40" s="50">
        <v>224</v>
      </c>
    </row>
    <row r="41" spans="2:15" s="47" customFormat="1" ht="11.25" customHeight="1" hidden="1">
      <c r="B41" s="63"/>
      <c r="C41" s="18"/>
      <c r="D41" s="18"/>
      <c r="E41" s="18"/>
      <c r="F41" s="18"/>
      <c r="G41" s="164"/>
      <c r="H41" s="164"/>
      <c r="I41" s="149"/>
      <c r="J41" s="165"/>
      <c r="K41" s="165"/>
      <c r="L41" s="62"/>
      <c r="M41" s="32" t="e">
        <f t="shared" si="2"/>
        <v>#DIV/0!</v>
      </c>
      <c r="N41" s="175"/>
      <c r="O41" s="6"/>
    </row>
    <row r="42" spans="2:15" s="44" customFormat="1" ht="18.75" customHeight="1" hidden="1">
      <c r="B42" s="45" t="s">
        <v>34</v>
      </c>
      <c r="C42" s="80"/>
      <c r="D42" s="80"/>
      <c r="E42" s="80"/>
      <c r="F42" s="80"/>
      <c r="G42" s="145"/>
      <c r="H42" s="146"/>
      <c r="I42" s="146"/>
      <c r="J42" s="146"/>
      <c r="K42" s="166"/>
      <c r="L42" s="64"/>
      <c r="M42" s="32" t="e">
        <f t="shared" si="2"/>
        <v>#DIV/0!</v>
      </c>
      <c r="N42" s="176"/>
      <c r="O42" s="5"/>
    </row>
    <row r="43" spans="2:15" s="44" customFormat="1" ht="20.25" customHeight="1" hidden="1">
      <c r="B43" s="77"/>
      <c r="C43" s="107"/>
      <c r="D43" s="107"/>
      <c r="E43" s="107"/>
      <c r="F43" s="107"/>
      <c r="G43" s="27">
        <f aca="true" t="shared" si="3" ref="G43:G53">SUM(H43:K43)</f>
        <v>0</v>
      </c>
      <c r="H43" s="167"/>
      <c r="I43" s="167"/>
      <c r="J43" s="167"/>
      <c r="K43" s="167"/>
      <c r="L43" s="46">
        <f>(H43/3*$L$21)/($H$21/3)</f>
        <v>0</v>
      </c>
      <c r="M43" s="32" t="e">
        <f t="shared" si="2"/>
        <v>#DIV/0!</v>
      </c>
      <c r="N43" s="176"/>
      <c r="O43" s="5"/>
    </row>
    <row r="44" spans="2:15" s="44" customFormat="1" ht="21" customHeight="1" hidden="1">
      <c r="B44" s="108" t="s">
        <v>35</v>
      </c>
      <c r="C44" s="109"/>
      <c r="D44" s="109"/>
      <c r="E44" s="109"/>
      <c r="F44" s="109"/>
      <c r="G44" s="27">
        <f t="shared" si="3"/>
        <v>0</v>
      </c>
      <c r="H44" s="146">
        <f>H45+H47+H48</f>
        <v>0</v>
      </c>
      <c r="I44" s="146">
        <f>I45+I47+I48</f>
        <v>0</v>
      </c>
      <c r="J44" s="146">
        <f>J45+J47+J48</f>
        <v>0</v>
      </c>
      <c r="K44" s="146">
        <f>K45+K47+K48</f>
        <v>0</v>
      </c>
      <c r="L44" s="40" t="e">
        <f>L45+L47+L48</f>
        <v>#DIV/0!</v>
      </c>
      <c r="M44" s="32" t="e">
        <f t="shared" si="2"/>
        <v>#DIV/0!</v>
      </c>
      <c r="N44" s="176"/>
      <c r="O44" s="5"/>
    </row>
    <row r="45" spans="2:15" s="67" customFormat="1" ht="15" customHeight="1" hidden="1">
      <c r="B45" s="60" t="s">
        <v>12</v>
      </c>
      <c r="C45" s="65"/>
      <c r="D45" s="65"/>
      <c r="E45" s="65"/>
      <c r="F45" s="61"/>
      <c r="G45" s="27">
        <f t="shared" si="3"/>
        <v>0</v>
      </c>
      <c r="H45" s="27"/>
      <c r="I45" s="27"/>
      <c r="J45" s="27"/>
      <c r="K45" s="27"/>
      <c r="L45" s="66">
        <f>(H45/3*$L$21)/($H$21/3)</f>
        <v>0</v>
      </c>
      <c r="M45" s="32" t="e">
        <f t="shared" si="2"/>
        <v>#DIV/0!</v>
      </c>
      <c r="N45" s="176"/>
      <c r="O45" s="5"/>
    </row>
    <row r="46" spans="2:15" s="50" customFormat="1" ht="15" customHeight="1" hidden="1">
      <c r="B46" s="58" t="s">
        <v>13</v>
      </c>
      <c r="C46" s="52"/>
      <c r="D46" s="52"/>
      <c r="E46" s="52"/>
      <c r="F46" s="52" t="s">
        <v>14</v>
      </c>
      <c r="G46" s="27">
        <f t="shared" si="3"/>
        <v>0</v>
      </c>
      <c r="H46" s="163">
        <f>ROUND(E46*0.976*1.18,1)</f>
        <v>0</v>
      </c>
      <c r="I46" s="163">
        <f>ROUND(E46*0.976*1.18,1)</f>
        <v>0</v>
      </c>
      <c r="J46" s="163">
        <f>ROUND(E46*0.976*1.18,1)</f>
        <v>0</v>
      </c>
      <c r="K46" s="163">
        <f>ROUND(E46*0.976*1.18,1)</f>
        <v>0</v>
      </c>
      <c r="L46" s="68">
        <f>(H46/3*$L$21)/($H$21/3)</f>
        <v>0</v>
      </c>
      <c r="M46" s="32" t="e">
        <f t="shared" si="2"/>
        <v>#DIV/0!</v>
      </c>
      <c r="N46" s="180"/>
      <c r="O46" s="54"/>
    </row>
    <row r="47" spans="2:15" s="47" customFormat="1" ht="15" customHeight="1" hidden="1">
      <c r="B47" s="39" t="s">
        <v>15</v>
      </c>
      <c r="C47" s="37"/>
      <c r="D47" s="37"/>
      <c r="E47" s="37"/>
      <c r="F47" s="49"/>
      <c r="G47" s="27">
        <f t="shared" si="3"/>
        <v>0</v>
      </c>
      <c r="H47" s="27"/>
      <c r="I47" s="27"/>
      <c r="J47" s="27"/>
      <c r="K47" s="27"/>
      <c r="L47" s="46" t="e">
        <f>M47</f>
        <v>#DIV/0!</v>
      </c>
      <c r="M47" s="32" t="e">
        <f t="shared" si="2"/>
        <v>#DIV/0!</v>
      </c>
      <c r="N47" s="175"/>
      <c r="O47" s="6"/>
    </row>
    <row r="48" spans="2:15" s="50" customFormat="1" ht="15" customHeight="1" hidden="1">
      <c r="B48" s="39" t="s">
        <v>16</v>
      </c>
      <c r="C48" s="69"/>
      <c r="D48" s="69"/>
      <c r="E48" s="69"/>
      <c r="F48" s="69"/>
      <c r="G48" s="27">
        <f t="shared" si="3"/>
        <v>0</v>
      </c>
      <c r="H48" s="27"/>
      <c r="I48" s="27"/>
      <c r="J48" s="27"/>
      <c r="K48" s="27"/>
      <c r="L48" s="70" t="e">
        <f>M48</f>
        <v>#DIV/0!</v>
      </c>
      <c r="M48" s="32" t="e">
        <f t="shared" si="2"/>
        <v>#DIV/0!</v>
      </c>
      <c r="N48" s="180"/>
      <c r="O48" s="54"/>
    </row>
    <row r="49" spans="2:15" s="44" customFormat="1" ht="18" customHeight="1">
      <c r="B49" s="2" t="s">
        <v>128</v>
      </c>
      <c r="C49" s="105"/>
      <c r="D49" s="105"/>
      <c r="E49" s="105"/>
      <c r="F49" s="105"/>
      <c r="G49" s="27">
        <f t="shared" si="3"/>
        <v>4083</v>
      </c>
      <c r="H49" s="27">
        <f>SUM(H50:H53)</f>
        <v>454</v>
      </c>
      <c r="I49" s="27">
        <f>SUM(I50:I53)</f>
        <v>1361</v>
      </c>
      <c r="J49" s="27">
        <f>SUM(J50:J53)</f>
        <v>1361</v>
      </c>
      <c r="K49" s="27">
        <f>SUM(K50:K53)</f>
        <v>907</v>
      </c>
      <c r="L49" s="46" t="e">
        <f>L50+L51+L52</f>
        <v>#DIV/0!</v>
      </c>
      <c r="M49" s="32" t="e">
        <f t="shared" si="2"/>
        <v>#DIV/0!</v>
      </c>
      <c r="N49" s="176"/>
      <c r="O49" s="5"/>
    </row>
    <row r="50" spans="2:15" s="47" customFormat="1" ht="32.25" customHeight="1">
      <c r="B50" s="308" t="s">
        <v>150</v>
      </c>
      <c r="C50" s="309"/>
      <c r="D50" s="309"/>
      <c r="E50" s="71">
        <v>0.05</v>
      </c>
      <c r="F50" s="37"/>
      <c r="G50" s="27">
        <f t="shared" si="3"/>
        <v>3240</v>
      </c>
      <c r="H50" s="27">
        <f>H21*5%</f>
        <v>360</v>
      </c>
      <c r="I50" s="27">
        <f>I21*5%</f>
        <v>1080</v>
      </c>
      <c r="J50" s="27">
        <f>J21*5%</f>
        <v>1080</v>
      </c>
      <c r="K50" s="27">
        <f>K21*5%</f>
        <v>720</v>
      </c>
      <c r="L50" s="70" t="e">
        <f>M50</f>
        <v>#DIV/0!</v>
      </c>
      <c r="M50" s="32" t="e">
        <f t="shared" si="2"/>
        <v>#DIV/0!</v>
      </c>
      <c r="N50" s="179">
        <f>G50/G21</f>
        <v>0.05</v>
      </c>
      <c r="O50" s="6"/>
    </row>
    <row r="51" spans="2:15" s="47" customFormat="1" ht="18.75" customHeight="1">
      <c r="B51" s="39" t="s">
        <v>105</v>
      </c>
      <c r="C51" s="42"/>
      <c r="D51" s="42"/>
      <c r="E51" s="121">
        <v>0.013</v>
      </c>
      <c r="F51" s="85"/>
      <c r="G51" s="27">
        <f>SUM(H51:K51)</f>
        <v>843</v>
      </c>
      <c r="H51" s="27">
        <f>H21*1.3%</f>
        <v>94</v>
      </c>
      <c r="I51" s="27">
        <f>I21*1.3%</f>
        <v>281</v>
      </c>
      <c r="J51" s="27">
        <f>J21*1.3%</f>
        <v>281</v>
      </c>
      <c r="K51" s="27">
        <f>K21*1.3%</f>
        <v>187</v>
      </c>
      <c r="L51" s="40">
        <f>G51/7296</f>
        <v>0.1</v>
      </c>
      <c r="M51" s="32" t="e">
        <f t="shared" si="2"/>
        <v>#DIV/0!</v>
      </c>
      <c r="N51" s="179">
        <f>G51/G21</f>
        <v>0.013</v>
      </c>
      <c r="O51" s="6"/>
    </row>
    <row r="52" spans="2:15" s="47" customFormat="1" ht="15" customHeight="1" hidden="1">
      <c r="B52" s="39" t="s">
        <v>50</v>
      </c>
      <c r="C52" s="65"/>
      <c r="D52" s="65"/>
      <c r="E52" s="65"/>
      <c r="F52" s="65"/>
      <c r="G52" s="27">
        <f t="shared" si="3"/>
        <v>0</v>
      </c>
      <c r="H52" s="27"/>
      <c r="I52" s="27"/>
      <c r="J52" s="27"/>
      <c r="K52" s="27"/>
      <c r="L52" s="40">
        <f>L53</f>
        <v>0</v>
      </c>
      <c r="M52" s="32" t="e">
        <f t="shared" si="2"/>
        <v>#DIV/0!</v>
      </c>
      <c r="N52" s="175"/>
      <c r="O52" s="6"/>
    </row>
    <row r="53" spans="2:15" s="50" customFormat="1" ht="16.5" customHeight="1" hidden="1">
      <c r="B53" s="1" t="s">
        <v>101</v>
      </c>
      <c r="C53" s="72"/>
      <c r="D53" s="72"/>
      <c r="E53" s="73">
        <v>0.6</v>
      </c>
      <c r="F53" s="72"/>
      <c r="G53" s="27">
        <f t="shared" si="3"/>
        <v>0</v>
      </c>
      <c r="H53" s="27">
        <f>H21*60%-H22</f>
        <v>0</v>
      </c>
      <c r="I53" s="27">
        <f>I21*60%-I22</f>
        <v>0</v>
      </c>
      <c r="J53" s="27">
        <f>J21*60%-J22</f>
        <v>0</v>
      </c>
      <c r="K53" s="27">
        <f>K21*60%-K22</f>
        <v>0</v>
      </c>
      <c r="L53" s="74">
        <f>G53/1440</f>
        <v>0</v>
      </c>
      <c r="M53" s="32" t="e">
        <f t="shared" si="2"/>
        <v>#DIV/0!</v>
      </c>
      <c r="N53" s="180"/>
      <c r="O53" s="54"/>
    </row>
    <row r="54" spans="2:15" s="50" customFormat="1" ht="15" customHeight="1" hidden="1">
      <c r="B54" s="58"/>
      <c r="C54" s="52"/>
      <c r="D54" s="52"/>
      <c r="E54" s="52"/>
      <c r="F54" s="52"/>
      <c r="G54" s="145"/>
      <c r="H54" s="146"/>
      <c r="I54" s="146"/>
      <c r="J54" s="146"/>
      <c r="K54" s="166"/>
      <c r="L54" s="75"/>
      <c r="M54" s="32" t="e">
        <f t="shared" si="2"/>
        <v>#DIV/0!</v>
      </c>
      <c r="N54" s="180"/>
      <c r="O54" s="54"/>
    </row>
    <row r="55" spans="1:14" s="6" customFormat="1" ht="15" customHeight="1" hidden="1">
      <c r="A55" s="18"/>
      <c r="B55" s="110" t="s">
        <v>17</v>
      </c>
      <c r="C55" s="111"/>
      <c r="D55" s="111"/>
      <c r="E55" s="111"/>
      <c r="F55" s="111"/>
      <c r="G55" s="145">
        <f aca="true" t="shared" si="4" ref="G55:L55">G56+G57</f>
        <v>0</v>
      </c>
      <c r="H55" s="145">
        <f t="shared" si="4"/>
        <v>0</v>
      </c>
      <c r="I55" s="145">
        <f t="shared" si="4"/>
        <v>0</v>
      </c>
      <c r="J55" s="145">
        <f t="shared" si="4"/>
        <v>0</v>
      </c>
      <c r="K55" s="145">
        <f t="shared" si="4"/>
        <v>0</v>
      </c>
      <c r="L55" s="76" t="e">
        <f t="shared" si="4"/>
        <v>#DIV/0!</v>
      </c>
      <c r="M55" s="32" t="e">
        <f t="shared" si="2"/>
        <v>#DIV/0!</v>
      </c>
      <c r="N55" s="175"/>
    </row>
    <row r="56" spans="1:14" s="6" customFormat="1" ht="15" customHeight="1" hidden="1">
      <c r="A56" s="18"/>
      <c r="B56" s="58" t="s">
        <v>56</v>
      </c>
      <c r="C56" s="104"/>
      <c r="D56" s="104"/>
      <c r="E56" s="104"/>
      <c r="F56" s="104"/>
      <c r="G56" s="27"/>
      <c r="H56" s="27"/>
      <c r="I56" s="27"/>
      <c r="J56" s="27"/>
      <c r="K56" s="27"/>
      <c r="L56" s="76" t="e">
        <f>M56</f>
        <v>#DIV/0!</v>
      </c>
      <c r="M56" s="32" t="e">
        <f t="shared" si="2"/>
        <v>#DIV/0!</v>
      </c>
      <c r="N56" s="175"/>
    </row>
    <row r="57" spans="1:14" s="6" customFormat="1" ht="15" customHeight="1" hidden="1">
      <c r="A57" s="18"/>
      <c r="B57" s="77" t="s">
        <v>55</v>
      </c>
      <c r="C57" s="112"/>
      <c r="D57" s="112"/>
      <c r="E57" s="112"/>
      <c r="F57" s="113"/>
      <c r="G57" s="148">
        <f>SUM(H57:K57)</f>
        <v>0</v>
      </c>
      <c r="H57" s="148"/>
      <c r="I57" s="168"/>
      <c r="J57" s="148"/>
      <c r="K57" s="169"/>
      <c r="L57" s="75" t="e">
        <f>M57</f>
        <v>#DIV/0!</v>
      </c>
      <c r="M57" s="32" t="e">
        <f t="shared" si="2"/>
        <v>#DIV/0!</v>
      </c>
      <c r="N57" s="175"/>
    </row>
    <row r="58" spans="1:14" s="6" customFormat="1" ht="15" customHeight="1" hidden="1">
      <c r="A58" s="18"/>
      <c r="B58" s="114"/>
      <c r="C58" s="115"/>
      <c r="D58" s="115"/>
      <c r="E58" s="115"/>
      <c r="F58" s="115"/>
      <c r="G58" s="170">
        <f>SUM(H58:K58)</f>
        <v>0</v>
      </c>
      <c r="H58" s="170"/>
      <c r="I58" s="170"/>
      <c r="J58" s="170"/>
      <c r="K58" s="170"/>
      <c r="L58" s="78">
        <f>G58/7296</f>
        <v>0</v>
      </c>
      <c r="M58" s="32" t="e">
        <f t="shared" si="2"/>
        <v>#DIV/0!</v>
      </c>
      <c r="N58" s="175"/>
    </row>
    <row r="59" spans="1:14" s="6" customFormat="1" ht="24.75" customHeight="1">
      <c r="A59" s="18"/>
      <c r="B59" s="119" t="s">
        <v>131</v>
      </c>
      <c r="C59" s="120"/>
      <c r="D59" s="120"/>
      <c r="E59" s="120"/>
      <c r="F59" s="120"/>
      <c r="G59" s="153">
        <f>SUM(H59:K59)</f>
        <v>15357</v>
      </c>
      <c r="H59" s="153">
        <f>H66+H60</f>
        <v>1706</v>
      </c>
      <c r="I59" s="153">
        <f>I66+I60</f>
        <v>5119</v>
      </c>
      <c r="J59" s="153">
        <f>J66+J60</f>
        <v>5119</v>
      </c>
      <c r="K59" s="153">
        <f>K66+K60</f>
        <v>3413</v>
      </c>
      <c r="L59" s="79" t="e">
        <f>L66+L60</f>
        <v>#DIV/0!</v>
      </c>
      <c r="M59" s="32" t="e">
        <f t="shared" si="2"/>
        <v>#DIV/0!</v>
      </c>
      <c r="N59" s="179">
        <f>G59/G21</f>
        <v>0.237</v>
      </c>
    </row>
    <row r="60" spans="2:14" s="5" customFormat="1" ht="17.25" customHeight="1">
      <c r="B60" s="3" t="s">
        <v>108</v>
      </c>
      <c r="C60" s="80"/>
      <c r="D60" s="80"/>
      <c r="E60" s="80"/>
      <c r="F60" s="80"/>
      <c r="G60" s="171">
        <f aca="true" t="shared" si="5" ref="G60:G77">SUM(H60:K60)</f>
        <v>15357</v>
      </c>
      <c r="H60" s="171">
        <f>H61</f>
        <v>1706</v>
      </c>
      <c r="I60" s="171">
        <f>I61</f>
        <v>5119</v>
      </c>
      <c r="J60" s="171">
        <f>J61</f>
        <v>5119</v>
      </c>
      <c r="K60" s="171">
        <f>K61</f>
        <v>3413</v>
      </c>
      <c r="L60" s="81" t="e">
        <f>M60</f>
        <v>#DIV/0!</v>
      </c>
      <c r="M60" s="32" t="e">
        <f t="shared" si="2"/>
        <v>#DIV/0!</v>
      </c>
      <c r="N60" s="176"/>
    </row>
    <row r="61" spans="2:15" s="67" customFormat="1" ht="17.25" customHeight="1">
      <c r="B61" s="39" t="s">
        <v>54</v>
      </c>
      <c r="C61" s="37"/>
      <c r="D61" s="37"/>
      <c r="E61" s="37"/>
      <c r="F61" s="37"/>
      <c r="G61" s="27">
        <f>SUM(H61:K61)</f>
        <v>15357</v>
      </c>
      <c r="H61" s="27">
        <f>H21*23.7%</f>
        <v>1706</v>
      </c>
      <c r="I61" s="27">
        <f>I21*23.7%</f>
        <v>5119</v>
      </c>
      <c r="J61" s="27">
        <f>J21*23.7%</f>
        <v>5119</v>
      </c>
      <c r="K61" s="27">
        <f>K21*23.7%</f>
        <v>3413</v>
      </c>
      <c r="L61" s="81" t="e">
        <f>G61/$N$9</f>
        <v>#DIV/0!</v>
      </c>
      <c r="M61" s="32" t="e">
        <f t="shared" si="2"/>
        <v>#DIV/0!</v>
      </c>
      <c r="N61" s="176"/>
      <c r="O61" s="5"/>
    </row>
    <row r="62" spans="2:15" s="67" customFormat="1" ht="17.25" customHeight="1" hidden="1">
      <c r="B62" s="39" t="s">
        <v>18</v>
      </c>
      <c r="C62" s="37"/>
      <c r="D62" s="37"/>
      <c r="E62" s="37"/>
      <c r="F62" s="37"/>
      <c r="G62" s="27">
        <f t="shared" si="5"/>
        <v>0</v>
      </c>
      <c r="H62" s="27"/>
      <c r="I62" s="27"/>
      <c r="J62" s="27"/>
      <c r="K62" s="27"/>
      <c r="L62" s="82" t="e">
        <f>G62/$N$9</f>
        <v>#DIV/0!</v>
      </c>
      <c r="M62" s="32" t="e">
        <f t="shared" si="2"/>
        <v>#DIV/0!</v>
      </c>
      <c r="N62" s="176"/>
      <c r="O62" s="5"/>
    </row>
    <row r="63" spans="2:15" s="67" customFormat="1" ht="17.25" customHeight="1" hidden="1">
      <c r="B63" s="60" t="s">
        <v>96</v>
      </c>
      <c r="C63" s="65"/>
      <c r="D63" s="65"/>
      <c r="E63" s="65"/>
      <c r="F63" s="65"/>
      <c r="G63" s="27">
        <f t="shared" si="5"/>
        <v>0</v>
      </c>
      <c r="H63" s="27"/>
      <c r="I63" s="27"/>
      <c r="J63" s="27"/>
      <c r="K63" s="27"/>
      <c r="L63" s="82"/>
      <c r="M63" s="32"/>
      <c r="N63" s="176"/>
      <c r="O63" s="5"/>
    </row>
    <row r="64" spans="2:15" s="47" customFormat="1" ht="17.25" customHeight="1" hidden="1">
      <c r="B64" s="60" t="s">
        <v>51</v>
      </c>
      <c r="C64" s="65"/>
      <c r="D64" s="65"/>
      <c r="E64" s="65"/>
      <c r="F64" s="65"/>
      <c r="G64" s="27">
        <f t="shared" si="5"/>
        <v>0</v>
      </c>
      <c r="H64" s="27"/>
      <c r="I64" s="27"/>
      <c r="J64" s="27"/>
      <c r="K64" s="27"/>
      <c r="L64" s="82" t="e">
        <f>M64</f>
        <v>#DIV/0!</v>
      </c>
      <c r="M64" s="32" t="e">
        <f t="shared" si="2"/>
        <v>#DIV/0!</v>
      </c>
      <c r="N64" s="175"/>
      <c r="O64" s="6"/>
    </row>
    <row r="65" spans="2:15" s="47" customFormat="1" ht="17.25" customHeight="1" hidden="1">
      <c r="B65" s="39" t="s">
        <v>53</v>
      </c>
      <c r="C65" s="37"/>
      <c r="D65" s="37"/>
      <c r="E65" s="37"/>
      <c r="F65" s="37"/>
      <c r="G65" s="27">
        <f t="shared" si="5"/>
        <v>0</v>
      </c>
      <c r="H65" s="27"/>
      <c r="I65" s="27"/>
      <c r="J65" s="27"/>
      <c r="K65" s="27"/>
      <c r="L65" s="82" t="e">
        <f>G65/$N$9</f>
        <v>#DIV/0!</v>
      </c>
      <c r="M65" s="32" t="e">
        <f t="shared" si="2"/>
        <v>#DIV/0!</v>
      </c>
      <c r="N65" s="175"/>
      <c r="O65" s="6"/>
    </row>
    <row r="66" spans="2:15" s="44" customFormat="1" ht="16.5" customHeight="1" hidden="1">
      <c r="B66" s="2" t="s">
        <v>107</v>
      </c>
      <c r="C66" s="105"/>
      <c r="D66" s="105"/>
      <c r="E66" s="105"/>
      <c r="F66" s="105"/>
      <c r="G66" s="27">
        <f t="shared" si="5"/>
        <v>0</v>
      </c>
      <c r="H66" s="27"/>
      <c r="I66" s="27"/>
      <c r="J66" s="27"/>
      <c r="K66" s="27"/>
      <c r="L66" s="81" t="e">
        <f>L68+L69+L70</f>
        <v>#DIV/0!</v>
      </c>
      <c r="M66" s="32" t="e">
        <f t="shared" si="2"/>
        <v>#DIV/0!</v>
      </c>
      <c r="N66" s="176"/>
      <c r="O66" s="5"/>
    </row>
    <row r="67" spans="2:15" s="67" customFormat="1" ht="15" customHeight="1" hidden="1">
      <c r="B67" s="39" t="s">
        <v>19</v>
      </c>
      <c r="C67" s="83"/>
      <c r="D67" s="83"/>
      <c r="E67" s="83"/>
      <c r="F67" s="83"/>
      <c r="G67" s="27">
        <f t="shared" si="5"/>
        <v>0</v>
      </c>
      <c r="H67" s="27"/>
      <c r="I67" s="27"/>
      <c r="J67" s="27"/>
      <c r="K67" s="27"/>
      <c r="L67" s="82" t="e">
        <f>G67/$N$9</f>
        <v>#DIV/0!</v>
      </c>
      <c r="M67" s="32" t="e">
        <f t="shared" si="2"/>
        <v>#DIV/0!</v>
      </c>
      <c r="N67" s="176"/>
      <c r="O67" s="5"/>
    </row>
    <row r="68" spans="2:15" s="67" customFormat="1" ht="15" customHeight="1" hidden="1">
      <c r="B68" s="39" t="s">
        <v>20</v>
      </c>
      <c r="C68" s="37"/>
      <c r="D68" s="37"/>
      <c r="E68" s="37"/>
      <c r="F68" s="37"/>
      <c r="G68" s="27">
        <f t="shared" si="5"/>
        <v>0</v>
      </c>
      <c r="H68" s="27"/>
      <c r="I68" s="27"/>
      <c r="J68" s="27"/>
      <c r="K68" s="27"/>
      <c r="L68" s="82" t="e">
        <f>G68/$N$9</f>
        <v>#DIV/0!</v>
      </c>
      <c r="M68" s="32" t="e">
        <f t="shared" si="2"/>
        <v>#DIV/0!</v>
      </c>
      <c r="N68" s="176"/>
      <c r="O68" s="5"/>
    </row>
    <row r="69" spans="2:15" s="47" customFormat="1" ht="15" customHeight="1" hidden="1">
      <c r="B69" s="39" t="s">
        <v>21</v>
      </c>
      <c r="C69" s="37"/>
      <c r="D69" s="37"/>
      <c r="E69" s="37"/>
      <c r="F69" s="37"/>
      <c r="G69" s="27">
        <f t="shared" si="5"/>
        <v>0</v>
      </c>
      <c r="H69" s="27"/>
      <c r="I69" s="27"/>
      <c r="J69" s="27"/>
      <c r="K69" s="27"/>
      <c r="L69" s="82" t="e">
        <f>G69/$N$9</f>
        <v>#DIV/0!</v>
      </c>
      <c r="M69" s="32" t="e">
        <f t="shared" si="2"/>
        <v>#DIV/0!</v>
      </c>
      <c r="N69" s="175"/>
      <c r="O69" s="6"/>
    </row>
    <row r="70" spans="2:15" s="47" customFormat="1" ht="15" customHeight="1" hidden="1">
      <c r="B70" s="39" t="s">
        <v>22</v>
      </c>
      <c r="C70" s="37"/>
      <c r="D70" s="37"/>
      <c r="E70" s="37"/>
      <c r="F70" s="37"/>
      <c r="G70" s="27">
        <f t="shared" si="5"/>
        <v>0</v>
      </c>
      <c r="H70" s="27">
        <f>SUM(H71:H76)</f>
        <v>0</v>
      </c>
      <c r="I70" s="27">
        <f>SUM(I71:I76)</f>
        <v>0</v>
      </c>
      <c r="J70" s="27">
        <f>SUM(J71:J76)</f>
        <v>0</v>
      </c>
      <c r="K70" s="27">
        <f>SUM(K71:K76)</f>
        <v>0</v>
      </c>
      <c r="L70" s="76" t="e">
        <f>SUM(L71:L76)</f>
        <v>#DIV/0!</v>
      </c>
      <c r="M70" s="32" t="e">
        <f t="shared" si="2"/>
        <v>#DIV/0!</v>
      </c>
      <c r="N70" s="175"/>
      <c r="O70" s="6"/>
    </row>
    <row r="71" spans="2:15" s="47" customFormat="1" ht="15" customHeight="1" hidden="1">
      <c r="B71" s="122" t="s">
        <v>23</v>
      </c>
      <c r="C71" s="123"/>
      <c r="D71" s="123"/>
      <c r="E71" s="123"/>
      <c r="F71" s="124"/>
      <c r="G71" s="27">
        <f t="shared" si="5"/>
        <v>0</v>
      </c>
      <c r="H71" s="27"/>
      <c r="I71" s="27"/>
      <c r="J71" s="27"/>
      <c r="K71" s="27"/>
      <c r="L71" s="70" t="e">
        <f aca="true" t="shared" si="6" ref="L71:L76">M71</f>
        <v>#DIV/0!</v>
      </c>
      <c r="M71" s="32" t="e">
        <f t="shared" si="2"/>
        <v>#DIV/0!</v>
      </c>
      <c r="N71" s="175"/>
      <c r="O71" s="6"/>
    </row>
    <row r="72" spans="2:15" s="47" customFormat="1" ht="16.5" customHeight="1" hidden="1">
      <c r="B72" s="60" t="s">
        <v>24</v>
      </c>
      <c r="C72" s="65"/>
      <c r="D72" s="65"/>
      <c r="E72" s="65"/>
      <c r="F72" s="86"/>
      <c r="G72" s="166">
        <f t="shared" si="5"/>
        <v>0</v>
      </c>
      <c r="H72" s="27"/>
      <c r="I72" s="27"/>
      <c r="J72" s="27"/>
      <c r="K72" s="27"/>
      <c r="L72" s="43" t="e">
        <f t="shared" si="6"/>
        <v>#DIV/0!</v>
      </c>
      <c r="M72" s="32" t="e">
        <f t="shared" si="2"/>
        <v>#DIV/0!</v>
      </c>
      <c r="N72" s="175"/>
      <c r="O72" s="6"/>
    </row>
    <row r="73" spans="2:15" s="47" customFormat="1" ht="15" customHeight="1" hidden="1">
      <c r="B73" s="60" t="s">
        <v>25</v>
      </c>
      <c r="C73" s="65"/>
      <c r="D73" s="65"/>
      <c r="E73" s="65"/>
      <c r="F73" s="86"/>
      <c r="G73" s="27">
        <f>+H73+I73+J73+K73</f>
        <v>0</v>
      </c>
      <c r="H73" s="27"/>
      <c r="I73" s="27"/>
      <c r="J73" s="27"/>
      <c r="K73" s="27"/>
      <c r="L73" s="87" t="e">
        <f>L21-L72-L27</f>
        <v>#DIV/0!</v>
      </c>
      <c r="M73" s="8" t="e">
        <f>G76/$N$9</f>
        <v>#DIV/0!</v>
      </c>
      <c r="N73" s="175"/>
      <c r="O73" s="6"/>
    </row>
    <row r="74" spans="2:15" s="47" customFormat="1" ht="15" customHeight="1" hidden="1">
      <c r="B74" s="39" t="s">
        <v>98</v>
      </c>
      <c r="C74" s="37"/>
      <c r="D74" s="37"/>
      <c r="E74" s="37"/>
      <c r="F74" s="84"/>
      <c r="G74" s="27">
        <f t="shared" si="5"/>
        <v>0</v>
      </c>
      <c r="H74" s="27"/>
      <c r="I74" s="27"/>
      <c r="J74" s="27"/>
      <c r="K74" s="27"/>
      <c r="L74" s="82" t="e">
        <f t="shared" si="6"/>
        <v>#DIV/0!</v>
      </c>
      <c r="M74" s="8" t="e">
        <f t="shared" si="2"/>
        <v>#DIV/0!</v>
      </c>
      <c r="N74" s="175"/>
      <c r="O74" s="6"/>
    </row>
    <row r="75" spans="2:15" s="47" customFormat="1" ht="15" customHeight="1" hidden="1">
      <c r="B75" s="39" t="s">
        <v>52</v>
      </c>
      <c r="C75" s="37"/>
      <c r="D75" s="37"/>
      <c r="E75" s="37"/>
      <c r="F75" s="84"/>
      <c r="G75" s="27">
        <f t="shared" si="5"/>
        <v>0</v>
      </c>
      <c r="H75" s="27"/>
      <c r="I75" s="27"/>
      <c r="J75" s="27"/>
      <c r="K75" s="27"/>
      <c r="L75" s="46">
        <f t="shared" si="6"/>
        <v>0</v>
      </c>
      <c r="M75" s="8"/>
      <c r="N75" s="175"/>
      <c r="O75" s="6"/>
    </row>
    <row r="76" spans="2:15" s="47" customFormat="1" ht="15" customHeight="1" hidden="1">
      <c r="B76" s="39" t="s">
        <v>26</v>
      </c>
      <c r="C76" s="37"/>
      <c r="D76" s="37"/>
      <c r="E76" s="37"/>
      <c r="F76" s="84"/>
      <c r="G76" s="27">
        <f>SUM(H76:K76)</f>
        <v>0</v>
      </c>
      <c r="H76" s="27"/>
      <c r="I76" s="27"/>
      <c r="J76" s="27"/>
      <c r="K76" s="27"/>
      <c r="L76" s="82">
        <f t="shared" si="6"/>
        <v>0</v>
      </c>
      <c r="M76" s="8"/>
      <c r="N76" s="175"/>
      <c r="O76" s="6"/>
    </row>
    <row r="77" spans="2:15" s="50" customFormat="1" ht="15" customHeight="1" hidden="1">
      <c r="B77" s="1" t="s">
        <v>27</v>
      </c>
      <c r="C77" s="72"/>
      <c r="D77" s="72"/>
      <c r="E77" s="72"/>
      <c r="F77" s="72"/>
      <c r="G77" s="27">
        <f t="shared" si="5"/>
        <v>0</v>
      </c>
      <c r="H77" s="27"/>
      <c r="I77" s="27"/>
      <c r="J77" s="27"/>
      <c r="K77" s="27"/>
      <c r="L77" s="46">
        <f>G77/7296</f>
        <v>0</v>
      </c>
      <c r="M77" s="8">
        <f>G77/7296</f>
        <v>0</v>
      </c>
      <c r="N77" s="180"/>
      <c r="O77" s="54"/>
    </row>
    <row r="78" spans="2:12" ht="36.75" customHeight="1">
      <c r="B78" s="225" t="s">
        <v>156</v>
      </c>
      <c r="C78" s="225"/>
      <c r="D78" s="225"/>
      <c r="E78" s="227"/>
      <c r="F78" s="225" t="s">
        <v>157</v>
      </c>
      <c r="G78" s="226"/>
      <c r="H78" s="7"/>
      <c r="I78" s="89"/>
      <c r="J78" s="7"/>
      <c r="K78" s="7"/>
      <c r="L78" s="90"/>
    </row>
    <row r="79" spans="2:12" ht="24.75" customHeight="1">
      <c r="B79" s="6" t="s">
        <v>144</v>
      </c>
      <c r="C79" s="6"/>
      <c r="D79" s="6"/>
      <c r="E79" s="125"/>
      <c r="F79" s="144" t="str">
        <f>' (смета) (2)'!F78</f>
        <v>А.Р. Саттарова</v>
      </c>
      <c r="G79" s="143"/>
      <c r="H79" s="7"/>
      <c r="I79" s="7"/>
      <c r="J79" s="7"/>
      <c r="K79" s="7"/>
      <c r="L79" s="92" t="e">
        <f>L21-L23-L28-L29-L30-L43-L44-L49-L55-L59</f>
        <v>#DIV/0!</v>
      </c>
    </row>
    <row r="80" spans="2:12" ht="24.75" customHeight="1">
      <c r="B80" s="6"/>
      <c r="C80" s="6"/>
      <c r="D80" s="6"/>
      <c r="E80" s="6"/>
      <c r="F80" s="6"/>
      <c r="G80" s="7"/>
      <c r="H80" s="7"/>
      <c r="I80" s="7"/>
      <c r="J80" s="7"/>
      <c r="K80" s="93"/>
      <c r="L80" s="92"/>
    </row>
    <row r="81" spans="2:12" ht="24.75" customHeight="1" hidden="1">
      <c r="B81" s="6"/>
      <c r="C81" s="6"/>
      <c r="D81" s="6"/>
      <c r="E81" s="6"/>
      <c r="F81" s="6"/>
      <c r="G81" s="7"/>
      <c r="H81" s="7"/>
      <c r="I81" s="7"/>
      <c r="J81" s="7"/>
      <c r="K81" s="93"/>
      <c r="L81" s="92"/>
    </row>
    <row r="82" spans="2:11" ht="18.75" customHeight="1">
      <c r="B82" s="6"/>
      <c r="C82" s="6"/>
      <c r="D82" s="6"/>
      <c r="E82" s="18"/>
      <c r="F82" s="202"/>
      <c r="H82" s="202"/>
      <c r="I82" s="94"/>
      <c r="J82" s="7"/>
      <c r="K82" s="7"/>
    </row>
    <row r="83" spans="9:11" ht="12.75" customHeight="1">
      <c r="I83" s="94"/>
      <c r="J83" s="7"/>
      <c r="K83" s="7"/>
    </row>
    <row r="84" spans="9:11" ht="18.75" customHeight="1">
      <c r="I84" s="94"/>
      <c r="J84" s="7"/>
      <c r="K84" s="7"/>
    </row>
    <row r="85" spans="9:13" ht="12.75" customHeight="1">
      <c r="I85" s="94"/>
      <c r="L85" s="95" t="e">
        <f>L23+L28+L30+L44+L49+L55+L59+L29+L25</f>
        <v>#DIV/0!</v>
      </c>
      <c r="M85" s="96" t="e">
        <f>M23+M28+M30+M44+M49+M55+M59+M29+M25</f>
        <v>#DIV/0!</v>
      </c>
    </row>
    <row r="86" ht="12.75" customHeight="1">
      <c r="I86" s="94"/>
    </row>
    <row r="87" spans="3:12" ht="12.75" customHeight="1">
      <c r="C87" s="97"/>
      <c r="L87" s="98"/>
    </row>
    <row r="88" ht="12.75" customHeight="1">
      <c r="I88" s="94"/>
    </row>
    <row r="89" ht="12.75" customHeight="1">
      <c r="I89" s="94"/>
    </row>
    <row r="90" ht="12.75" customHeight="1">
      <c r="I90" s="94"/>
    </row>
    <row r="91" ht="12.75" customHeight="1">
      <c r="I91" s="94"/>
    </row>
    <row r="92" ht="12.75" customHeight="1">
      <c r="I92" s="94"/>
    </row>
    <row r="93" ht="12.75" customHeight="1">
      <c r="I93" s="94"/>
    </row>
    <row r="94" ht="12.75" customHeight="1">
      <c r="I94" s="94"/>
    </row>
    <row r="95" ht="12.75" customHeight="1">
      <c r="I95" s="94"/>
    </row>
  </sheetData>
  <sheetProtection/>
  <mergeCells count="7">
    <mergeCell ref="B50:D50"/>
    <mergeCell ref="B2:K2"/>
    <mergeCell ref="B3:K3"/>
    <mergeCell ref="P3:S3"/>
    <mergeCell ref="H19:I19"/>
    <mergeCell ref="J19:K19"/>
    <mergeCell ref="N19:N20"/>
  </mergeCells>
  <printOptions/>
  <pageMargins left="0.5905511811023623" right="0.1968503937007874" top="0.17" bottom="0.16" header="0" footer="0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53"/>
  <sheetViews>
    <sheetView view="pageBreakPreview" zoomScale="90" zoomScaleSheetLayoutView="90" zoomScalePageLayoutView="0" workbookViewId="0" topLeftCell="A1">
      <selection activeCell="D45" sqref="D45"/>
    </sheetView>
  </sheetViews>
  <sheetFormatPr defaultColWidth="9.00390625" defaultRowHeight="12.75"/>
  <cols>
    <col min="1" max="1" width="2.375" style="88" customWidth="1"/>
    <col min="2" max="2" width="4.75390625" style="88" customWidth="1"/>
    <col min="3" max="3" width="44.25390625" style="88" customWidth="1"/>
    <col min="4" max="4" width="15.625" style="88" customWidth="1"/>
    <col min="5" max="5" width="13.375" style="88" hidden="1" customWidth="1"/>
    <col min="6" max="7" width="9.125" style="88" customWidth="1"/>
    <col min="8" max="8" width="11.625" style="88" customWidth="1"/>
    <col min="9" max="16384" width="9.125" style="88" customWidth="1"/>
  </cols>
  <sheetData>
    <row r="2" spans="2:7" ht="15.75">
      <c r="B2" s="6"/>
      <c r="C2" s="6"/>
      <c r="D2" s="6" t="s">
        <v>57</v>
      </c>
      <c r="E2" s="6"/>
      <c r="F2" s="6"/>
      <c r="G2" s="6"/>
    </row>
    <row r="3" spans="2:7" ht="48.75" customHeight="1">
      <c r="B3" s="6"/>
      <c r="C3" s="6"/>
      <c r="D3" s="319" t="str">
        <f>' (смета)'!C5</f>
        <v>"Центр дополнительного образования детей им.В.Волошиной"</v>
      </c>
      <c r="E3" s="319"/>
      <c r="F3" s="319"/>
      <c r="G3" s="319"/>
    </row>
    <row r="4" spans="2:7" ht="15.75">
      <c r="B4" s="6"/>
      <c r="C4" s="6"/>
      <c r="D4" s="125"/>
      <c r="E4" s="6"/>
      <c r="F4" s="6" t="str">
        <f>' (смета)'!F80</f>
        <v> И.П. Чередова</v>
      </c>
      <c r="G4" s="6"/>
    </row>
    <row r="5" spans="2:7" ht="15.75">
      <c r="B5" s="6"/>
      <c r="C5" s="6"/>
      <c r="D5" s="6"/>
      <c r="E5" s="6"/>
      <c r="F5" s="6"/>
      <c r="G5" s="6"/>
    </row>
    <row r="6" spans="2:10" ht="15.75">
      <c r="B6" s="6"/>
      <c r="C6" s="6"/>
      <c r="D6" s="126" t="s">
        <v>221</v>
      </c>
      <c r="E6" s="126"/>
      <c r="F6" s="126"/>
      <c r="G6" s="6"/>
      <c r="H6" s="203"/>
      <c r="I6" s="204"/>
      <c r="J6" s="204"/>
    </row>
    <row r="7" spans="2:7" ht="15.75">
      <c r="B7" s="6"/>
      <c r="C7" s="6"/>
      <c r="D7" s="6"/>
      <c r="E7" s="6"/>
      <c r="F7" s="6"/>
      <c r="G7" s="6"/>
    </row>
    <row r="8" spans="2:7" ht="15.75">
      <c r="B8" s="322" t="s">
        <v>58</v>
      </c>
      <c r="C8" s="322"/>
      <c r="D8" s="322"/>
      <c r="E8" s="6"/>
      <c r="F8" s="6"/>
      <c r="G8" s="6"/>
    </row>
    <row r="9" spans="2:7" ht="15.75">
      <c r="B9" s="323" t="s">
        <v>134</v>
      </c>
      <c r="C9" s="323"/>
      <c r="D9" s="323"/>
      <c r="E9" s="175"/>
      <c r="F9" s="6"/>
      <c r="G9" s="6"/>
    </row>
    <row r="10" spans="2:7" ht="15.75">
      <c r="B10" s="175"/>
      <c r="C10" s="89" t="str">
        <f>' (смета) (3)'!D6</f>
        <v>"Английский для малышей 6-8 лет"</v>
      </c>
      <c r="D10" s="175"/>
      <c r="E10" s="175"/>
      <c r="F10" s="6"/>
      <c r="G10" s="6"/>
    </row>
    <row r="11" spans="2:7" ht="15.75">
      <c r="B11" s="89"/>
      <c r="C11" s="175" t="str">
        <f>' (смета) (3)'!B7</f>
        <v>По программе:</v>
      </c>
      <c r="D11" s="175"/>
      <c r="E11" s="175"/>
      <c r="F11" s="6"/>
      <c r="G11" s="6"/>
    </row>
    <row r="12" spans="2:7" ht="15.75">
      <c r="B12" s="89"/>
      <c r="C12" s="175" t="str">
        <f>' (смета) (3)'!D7</f>
        <v>Английский для малышей </v>
      </c>
      <c r="D12" s="175"/>
      <c r="E12" s="175"/>
      <c r="F12" s="6"/>
      <c r="G12" s="6"/>
    </row>
    <row r="13" spans="2:7" ht="15.75">
      <c r="B13" s="324" t="str">
        <f>' (смета)'!B3:K3</f>
        <v>                 на  2023-2024 учебный год  (сентябрь -май)</v>
      </c>
      <c r="C13" s="324"/>
      <c r="D13" s="324"/>
      <c r="E13" s="324"/>
      <c r="F13" s="6"/>
      <c r="G13" s="6"/>
    </row>
    <row r="14" spans="2:5" ht="24.75" customHeight="1">
      <c r="B14" s="127" t="s">
        <v>59</v>
      </c>
      <c r="C14" s="127" t="s">
        <v>60</v>
      </c>
      <c r="D14" s="127" t="s">
        <v>93</v>
      </c>
      <c r="E14" s="205" t="s">
        <v>62</v>
      </c>
    </row>
    <row r="15" spans="2:5" ht="16.5" customHeight="1">
      <c r="B15" s="206">
        <v>1</v>
      </c>
      <c r="C15" s="207" t="s">
        <v>61</v>
      </c>
      <c r="D15" s="128">
        <f>SUM(D16:D25)</f>
        <v>38880</v>
      </c>
      <c r="E15" s="208">
        <f>SUM(E16:E24)</f>
        <v>0</v>
      </c>
    </row>
    <row r="16" spans="2:5" ht="15.75">
      <c r="B16" s="209" t="s">
        <v>63</v>
      </c>
      <c r="C16" s="130" t="s">
        <v>72</v>
      </c>
      <c r="D16" s="27">
        <f>'резерв отпускных (3)'!D14</f>
        <v>26295</v>
      </c>
      <c r="E16" s="210"/>
    </row>
    <row r="17" spans="2:5" ht="15.75">
      <c r="B17" s="209" t="s">
        <v>64</v>
      </c>
      <c r="C17" s="130" t="s">
        <v>73</v>
      </c>
      <c r="D17" s="27">
        <f>'резерв отпускных (3)'!D15</f>
        <v>7940</v>
      </c>
      <c r="E17" s="210"/>
    </row>
    <row r="18" spans="2:5" ht="15.75">
      <c r="B18" s="209" t="s">
        <v>65</v>
      </c>
      <c r="C18" s="130" t="s">
        <v>74</v>
      </c>
      <c r="D18" s="27">
        <f>'резерв отпускных (3)'!D13+1</f>
        <v>4645</v>
      </c>
      <c r="E18" s="210"/>
    </row>
    <row r="19" spans="2:5" ht="15.75" hidden="1">
      <c r="B19" s="209" t="s">
        <v>66</v>
      </c>
      <c r="C19" s="130"/>
      <c r="D19" s="129"/>
      <c r="E19" s="210"/>
    </row>
    <row r="20" spans="2:5" ht="15.75" hidden="1">
      <c r="B20" s="209" t="s">
        <v>67</v>
      </c>
      <c r="C20" s="130"/>
      <c r="D20" s="129"/>
      <c r="E20" s="210"/>
    </row>
    <row r="21" spans="2:5" ht="15.75" hidden="1">
      <c r="B21" s="209" t="s">
        <v>68</v>
      </c>
      <c r="C21" s="130"/>
      <c r="D21" s="129"/>
      <c r="E21" s="210"/>
    </row>
    <row r="22" spans="2:5" ht="15.75" hidden="1">
      <c r="B22" s="209" t="s">
        <v>69</v>
      </c>
      <c r="C22" s="130"/>
      <c r="D22" s="129"/>
      <c r="E22" s="210"/>
    </row>
    <row r="23" spans="2:5" ht="25.5" customHeight="1" hidden="1">
      <c r="B23" s="209" t="s">
        <v>70</v>
      </c>
      <c r="C23" s="130"/>
      <c r="D23" s="130"/>
      <c r="E23" s="210"/>
    </row>
    <row r="24" spans="2:5" ht="15.75" hidden="1">
      <c r="B24" s="209" t="s">
        <v>71</v>
      </c>
      <c r="C24" s="130"/>
      <c r="D24" s="130"/>
      <c r="E24" s="210"/>
    </row>
    <row r="25" spans="2:5" ht="15.75" hidden="1">
      <c r="B25" s="211"/>
      <c r="C25" s="130"/>
      <c r="D25" s="129"/>
      <c r="E25" s="210"/>
    </row>
    <row r="26" spans="2:5" ht="15.75">
      <c r="B26" s="206">
        <v>2</v>
      </c>
      <c r="C26" s="207" t="s">
        <v>75</v>
      </c>
      <c r="D26" s="131">
        <f>D27+D38+D43+D44+D42+D41+D39+D40</f>
        <v>25920</v>
      </c>
      <c r="E26" s="208">
        <f>E27+E38+E41+E42+E43+E44</f>
        <v>0</v>
      </c>
    </row>
    <row r="27" spans="2:5" ht="31.5" hidden="1">
      <c r="B27" s="209" t="s">
        <v>76</v>
      </c>
      <c r="C27" s="212" t="s">
        <v>102</v>
      </c>
      <c r="D27" s="27">
        <f>D28+D37</f>
        <v>0</v>
      </c>
      <c r="E27" s="210">
        <f>E28+E37</f>
        <v>0</v>
      </c>
    </row>
    <row r="28" spans="2:5" ht="15.75" hidden="1">
      <c r="B28" s="209" t="s">
        <v>82</v>
      </c>
      <c r="C28" s="59" t="s">
        <v>72</v>
      </c>
      <c r="D28" s="27">
        <f>SUM(D29:D36)</f>
        <v>0</v>
      </c>
      <c r="E28" s="210">
        <f>SUM(E29:E36)</f>
        <v>0</v>
      </c>
    </row>
    <row r="29" spans="2:5" ht="15.75" hidden="1">
      <c r="B29" s="209"/>
      <c r="C29" s="59" t="s">
        <v>99</v>
      </c>
      <c r="D29" s="27"/>
      <c r="E29" s="210"/>
    </row>
    <row r="30" spans="2:5" ht="15.75" hidden="1">
      <c r="B30" s="209"/>
      <c r="C30" s="59" t="s">
        <v>86</v>
      </c>
      <c r="D30" s="129"/>
      <c r="E30" s="210"/>
    </row>
    <row r="31" spans="2:5" ht="15.75" hidden="1">
      <c r="B31" s="209"/>
      <c r="C31" s="59" t="s">
        <v>84</v>
      </c>
      <c r="D31" s="129"/>
      <c r="E31" s="210"/>
    </row>
    <row r="32" spans="2:5" ht="15.75" hidden="1">
      <c r="B32" s="209"/>
      <c r="C32" s="59" t="s">
        <v>85</v>
      </c>
      <c r="D32" s="129"/>
      <c r="E32" s="210"/>
    </row>
    <row r="33" spans="2:5" ht="15.75" hidden="1">
      <c r="B33" s="209"/>
      <c r="C33" s="59" t="s">
        <v>100</v>
      </c>
      <c r="D33" s="27">
        <f>+' (смета)'!G55/1.271</f>
        <v>0</v>
      </c>
      <c r="E33" s="210"/>
    </row>
    <row r="34" spans="2:5" ht="15.75" hidden="1">
      <c r="B34" s="209"/>
      <c r="C34" s="59" t="s">
        <v>87</v>
      </c>
      <c r="D34" s="129"/>
      <c r="E34" s="210"/>
    </row>
    <row r="35" spans="2:5" ht="15.75" hidden="1">
      <c r="B35" s="209"/>
      <c r="C35" s="59" t="s">
        <v>88</v>
      </c>
      <c r="D35" s="129"/>
      <c r="E35" s="210"/>
    </row>
    <row r="36" spans="2:5" ht="15.75" hidden="1">
      <c r="B36" s="209"/>
      <c r="C36" s="59" t="s">
        <v>89</v>
      </c>
      <c r="D36" s="129"/>
      <c r="E36" s="210"/>
    </row>
    <row r="37" spans="2:5" ht="15.75" hidden="1">
      <c r="B37" s="209" t="s">
        <v>83</v>
      </c>
      <c r="C37" s="59" t="s">
        <v>73</v>
      </c>
      <c r="D37" s="27">
        <f>D28*27.1%</f>
        <v>0</v>
      </c>
      <c r="E37" s="210">
        <f>E28*26.2%</f>
        <v>0</v>
      </c>
    </row>
    <row r="38" spans="2:5" ht="15.75">
      <c r="B38" s="209" t="s">
        <v>77</v>
      </c>
      <c r="C38" s="130" t="s">
        <v>90</v>
      </c>
      <c r="D38" s="27">
        <f>' (смета) (3)'!G30</f>
        <v>6480</v>
      </c>
      <c r="E38" s="210"/>
    </row>
    <row r="39" spans="2:5" ht="31.5" customHeight="1">
      <c r="B39" s="213" t="s">
        <v>78</v>
      </c>
      <c r="C39" s="214" t="s">
        <v>104</v>
      </c>
      <c r="D39" s="27">
        <f>' (смета) (3)'!G50</f>
        <v>3240</v>
      </c>
      <c r="E39" s="210"/>
    </row>
    <row r="40" spans="2:5" ht="16.5" customHeight="1">
      <c r="B40" s="213" t="s">
        <v>79</v>
      </c>
      <c r="C40" s="214" t="s">
        <v>135</v>
      </c>
      <c r="D40" s="27">
        <f>' (смета) (3)'!G51</f>
        <v>843</v>
      </c>
      <c r="E40" s="210"/>
    </row>
    <row r="41" spans="2:5" ht="15.75">
      <c r="B41" s="209" t="s">
        <v>80</v>
      </c>
      <c r="C41" s="130" t="s">
        <v>97</v>
      </c>
      <c r="D41" s="27">
        <f>' (смета) (3)'!G72</f>
        <v>0</v>
      </c>
      <c r="E41" s="210"/>
    </row>
    <row r="42" spans="2:5" ht="15.75">
      <c r="B42" s="209" t="s">
        <v>81</v>
      </c>
      <c r="C42" s="39" t="s">
        <v>136</v>
      </c>
      <c r="D42" s="132">
        <f>+' (смета) (3)'!G73</f>
        <v>0</v>
      </c>
      <c r="E42" s="37"/>
    </row>
    <row r="43" spans="2:5" ht="15.75">
      <c r="B43" s="209" t="s">
        <v>95</v>
      </c>
      <c r="C43" s="130" t="s">
        <v>137</v>
      </c>
      <c r="D43" s="129">
        <f>' (смета) (3)'!G61</f>
        <v>15357</v>
      </c>
      <c r="E43" s="210"/>
    </row>
    <row r="44" spans="2:5" ht="15.75">
      <c r="B44" s="209" t="s">
        <v>109</v>
      </c>
      <c r="C44" s="212" t="s">
        <v>138</v>
      </c>
      <c r="D44" s="129">
        <f>' (смета) (3)'!G74</f>
        <v>0</v>
      </c>
      <c r="E44" s="210"/>
    </row>
    <row r="45" spans="2:5" ht="18.75" customHeight="1">
      <c r="B45" s="206">
        <v>3</v>
      </c>
      <c r="C45" s="207" t="s">
        <v>91</v>
      </c>
      <c r="D45" s="131">
        <f>D15+D26</f>
        <v>64800</v>
      </c>
      <c r="E45" s="208">
        <f>E15+E26</f>
        <v>0</v>
      </c>
    </row>
    <row r="46" spans="2:5" ht="15.75">
      <c r="B46" s="211"/>
      <c r="C46" s="130"/>
      <c r="D46" s="129"/>
      <c r="E46" s="210"/>
    </row>
    <row r="47" spans="2:5" ht="15.75">
      <c r="B47" s="211">
        <v>4</v>
      </c>
      <c r="C47" s="130" t="s">
        <v>92</v>
      </c>
      <c r="D47" s="27">
        <f>' (смета) (3)'!E8</f>
        <v>4</v>
      </c>
      <c r="E47" s="210"/>
    </row>
    <row r="48" spans="2:5" ht="15.75">
      <c r="B48" s="211">
        <v>5</v>
      </c>
      <c r="C48" s="130" t="s">
        <v>139</v>
      </c>
      <c r="D48" s="27">
        <f>' (смета) (3)'!E13</f>
        <v>72</v>
      </c>
      <c r="E48" s="210"/>
    </row>
    <row r="49" spans="2:5" ht="15.75">
      <c r="B49" s="206">
        <v>6</v>
      </c>
      <c r="C49" s="207" t="s">
        <v>140</v>
      </c>
      <c r="D49" s="131">
        <f>D45/D47/D48</f>
        <v>225</v>
      </c>
      <c r="E49" s="208"/>
    </row>
    <row r="50" spans="2:4" ht="15.75">
      <c r="B50" s="6"/>
      <c r="C50" s="6"/>
      <c r="D50" s="6"/>
    </row>
    <row r="51" spans="2:8" ht="15.75">
      <c r="B51" s="6" t="s">
        <v>151</v>
      </c>
      <c r="C51" s="7" t="str">
        <f>' (смета) (3)'!F79</f>
        <v>А.Р. Саттарова</v>
      </c>
      <c r="D51" s="6"/>
      <c r="E51" s="125"/>
      <c r="F51" s="18"/>
      <c r="G51" s="320"/>
      <c r="H51" s="320"/>
    </row>
    <row r="52" spans="2:8" ht="15.75">
      <c r="B52" s="6"/>
      <c r="C52" s="6"/>
      <c r="D52" s="6"/>
      <c r="E52" s="6"/>
      <c r="F52" s="6"/>
      <c r="G52" s="7"/>
      <c r="H52" s="7"/>
    </row>
    <row r="53" spans="2:8" ht="15.75">
      <c r="B53" s="6"/>
      <c r="C53" s="6"/>
      <c r="D53" s="6"/>
      <c r="E53" s="125"/>
      <c r="F53" s="18"/>
      <c r="G53" s="321"/>
      <c r="H53" s="321"/>
    </row>
  </sheetData>
  <sheetProtection/>
  <mergeCells count="6">
    <mergeCell ref="G53:H53"/>
    <mergeCell ref="D3:G3"/>
    <mergeCell ref="B8:D8"/>
    <mergeCell ref="B9:D9"/>
    <mergeCell ref="B13:E13"/>
    <mergeCell ref="G51:H51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2223E</dc:creator>
  <cp:keywords/>
  <dc:description/>
  <cp:lastModifiedBy>Алла Ринатовна Гарипова</cp:lastModifiedBy>
  <cp:lastPrinted>2023-09-04T05:31:07Z</cp:lastPrinted>
  <dcterms:created xsi:type="dcterms:W3CDTF">2005-10-07T05:51:16Z</dcterms:created>
  <dcterms:modified xsi:type="dcterms:W3CDTF">2023-09-19T02:55:45Z</dcterms:modified>
  <cp:category/>
  <cp:version/>
  <cp:contentType/>
  <cp:contentStatus/>
</cp:coreProperties>
</file>